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ipronbgta.sharepoint.com/sites/MapadeRiesgosIDIPRON/Documentos compartidos/RIESGOS 2025/Riesgos de Gestión/Primer seguimiento/Gestión de Adecuación y Mantenimiento de Bienes/"/>
    </mc:Choice>
  </mc:AlternateContent>
  <xr:revisionPtr revIDLastSave="21" documentId="13_ncr:1_{6C5A09D6-3617-42A0-86AF-80D2F95551D1}" xr6:coauthVersionLast="47" xr6:coauthVersionMax="47" xr10:uidLastSave="{DB868330-A07B-4F2E-B63F-DE51C32F5E3E}"/>
  <bookViews>
    <workbookView xWindow="-108" yWindow="-108" windowWidth="23256" windowHeight="12456" xr2:uid="{00000000-000D-0000-FFFF-FFFF00000000}"/>
  </bookViews>
  <sheets>
    <sheet name="Riesgo 1" sheetId="3" r:id="rId1"/>
    <sheet name="Datos" sheetId="5" state="hidden" r:id="rId2"/>
    <sheet name="Instructivo" sheetId="4" r:id="rId3"/>
  </sheets>
  <definedNames>
    <definedName name="_xlnm.Print_Area" localSheetId="0">'Riesgo 1'!$A$1:$AK$22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22" i="3" l="1"/>
  <c r="AD21" i="3"/>
  <c r="Z21" i="3"/>
  <c r="AB21" i="3" s="1"/>
  <c r="V21" i="3"/>
  <c r="S21" i="3"/>
  <c r="AL21" i="3"/>
  <c r="AH21" i="3"/>
  <c r="P21" i="3"/>
  <c r="AC21" i="3" l="1"/>
  <c r="AA21" i="3"/>
  <c r="AE21" i="3" s="1"/>
  <c r="AF21" i="3" s="1"/>
  <c r="S20" i="3" l="1"/>
  <c r="V20" i="3"/>
  <c r="S18" i="3"/>
  <c r="V18" i="3"/>
  <c r="V22" i="3"/>
  <c r="S22" i="3"/>
  <c r="V19" i="3"/>
  <c r="S19" i="3"/>
  <c r="V17" i="3"/>
  <c r="S17" i="3"/>
  <c r="K17" i="3"/>
  <c r="L17" i="3" s="1"/>
  <c r="M17" i="3" s="1"/>
  <c r="H17" i="3"/>
  <c r="I17" i="3" s="1"/>
  <c r="Z17" i="3" l="1"/>
  <c r="AB17" i="3" s="1"/>
  <c r="Z18" i="3" s="1"/>
  <c r="AD17" i="3"/>
  <c r="AC17" i="3" s="1"/>
  <c r="AD18" i="3"/>
  <c r="AD20" i="3"/>
  <c r="N17" i="3"/>
  <c r="O17" i="3" s="1"/>
  <c r="AA17" i="3"/>
  <c r="AE17" i="3" l="1"/>
  <c r="AF17" i="3" s="1"/>
  <c r="AC18" i="3"/>
  <c r="AD19" i="3"/>
  <c r="AC19" i="3" s="1"/>
  <c r="AC20" i="3"/>
  <c r="AC22" i="3"/>
  <c r="AB18" i="3"/>
  <c r="Z19" i="3" s="1"/>
  <c r="AA18" i="3"/>
  <c r="AE18" i="3" l="1"/>
  <c r="AF18" i="3" s="1"/>
  <c r="AB19" i="3"/>
  <c r="Z20" i="3" s="1"/>
  <c r="AA19" i="3"/>
  <c r="AE19" i="3" s="1"/>
  <c r="AF19" i="3" s="1"/>
  <c r="AA20" i="3" l="1"/>
  <c r="AE20" i="3" s="1"/>
  <c r="AF20" i="3" s="1"/>
  <c r="AB20" i="3"/>
  <c r="Z22" i="3" s="1"/>
  <c r="AB22" i="3" l="1"/>
  <c r="AA22" i="3"/>
  <c r="AE22" i="3" s="1"/>
  <c r="AF22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tc={8918070B-19C8-464C-B2B0-E05548DA8FE4}</author>
  </authors>
  <commentList>
    <comment ref="G17" authorId="0" shapeId="0" xr:uid="{00000000-0006-0000-00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Se toma como referencia el numero de días al año que la infraestructura de la entidad esta en uso.</t>
      </text>
    </comment>
  </commentList>
</comments>
</file>

<file path=xl/sharedStrings.xml><?xml version="1.0" encoding="utf-8"?>
<sst xmlns="http://schemas.openxmlformats.org/spreadsheetml/2006/main" count="215" uniqueCount="167">
  <si>
    <t>MANTENIMIENTO DE BIENES</t>
  </si>
  <si>
    <t>CÓDIGO</t>
  </si>
  <si>
    <t>E-PLA-FT-020</t>
  </si>
  <si>
    <t>VERSIÓN</t>
  </si>
  <si>
    <t>09</t>
  </si>
  <si>
    <t>MAPA DE RIESGOS DE GESTIÓN</t>
  </si>
  <si>
    <t>PÁGINA</t>
  </si>
  <si>
    <t>1 DE 1</t>
  </si>
  <si>
    <t>VIGENTE DESDE</t>
  </si>
  <si>
    <t>Proceso</t>
  </si>
  <si>
    <t>GESTION DE ADECUACIÓN Y MANTENIMIENTO DE BIENES</t>
  </si>
  <si>
    <t>Objetivo del Proceso</t>
  </si>
  <si>
    <t>Garantizar las condiciones mínimas de calidad y habitabilidad de nuestros Niños, Niñas, Adolescentes y Jóvenes (NNAJ) y de todos los procesos del Instituto a través del mantenimiento físico preventivo y correctivo de bienes muebles e inmuebles que componen la infraestructura del IDIPRON, con el fin de fortalecer la gestión administrativa, de comunicaciones e infraestructura de conformidad con los lineamientos legales establecidos.</t>
  </si>
  <si>
    <t>Alcance</t>
  </si>
  <si>
    <t xml:space="preserve">El proceso inicia con el cronograma de las actividades a realizar y la contratación de los servicios requeridos, los cuales son administrados y puestos a disposición de los diferentes procesos definidos por el IDIPRON para el cumplimiento de su misión, así mismo se realizan periódicamente acciones preventivas o de mantenimiento a los Bienes muebles e inmuebles, equipos y maquinaria, como a la infraestructura física y termina con la retroalimentación en la calidad de los servicios prestados. </t>
  </si>
  <si>
    <t>IDENTIFICACIÓN DEL RIESGO</t>
  </si>
  <si>
    <t>VALORACIÓN DEL RIESGO</t>
  </si>
  <si>
    <t>GESTIÓN DEL RIESGO</t>
  </si>
  <si>
    <t xml:space="preserve">MONITOREO </t>
  </si>
  <si>
    <t>SEGUIMIENTO Y EVALUACIÓN</t>
  </si>
  <si>
    <t>Atributos</t>
  </si>
  <si>
    <t>No. De Riesgo</t>
  </si>
  <si>
    <t>Impacto</t>
  </si>
  <si>
    <t>Causa Inmediata</t>
  </si>
  <si>
    <t>Causa Raíz</t>
  </si>
  <si>
    <t>Descripción del Riesgo</t>
  </si>
  <si>
    <t>Clasificación Riesgo</t>
  </si>
  <si>
    <t>Frecuencia con la que se realiza la actividad</t>
  </si>
  <si>
    <t>Probabilidad 
Inherente</t>
  </si>
  <si>
    <t>%</t>
  </si>
  <si>
    <t>Criterios de Impacto</t>
  </si>
  <si>
    <t>Observación de Impacto</t>
  </si>
  <si>
    <t>Impacto
 Inherente</t>
  </si>
  <si>
    <t>Zona de riesgo</t>
  </si>
  <si>
    <t>Zona de riesgo
inherente</t>
  </si>
  <si>
    <t>No. De control</t>
  </si>
  <si>
    <t>Descripción del Control</t>
  </si>
  <si>
    <t>Afectación</t>
  </si>
  <si>
    <t xml:space="preserve">Tipo </t>
  </si>
  <si>
    <t>Implementación</t>
  </si>
  <si>
    <t>Calificación</t>
  </si>
  <si>
    <t>Documentación</t>
  </si>
  <si>
    <t>Frecuencia</t>
  </si>
  <si>
    <t>Evidencia</t>
  </si>
  <si>
    <t xml:space="preserve">Probabilidad Residual </t>
  </si>
  <si>
    <t>Probabilidad Residual Final</t>
  </si>
  <si>
    <t>Impacto Residual Final</t>
  </si>
  <si>
    <t>Zona de Riesgo Final</t>
  </si>
  <si>
    <t>Tratamiento</t>
  </si>
  <si>
    <t>Plan de Acción</t>
  </si>
  <si>
    <t>Responsable</t>
  </si>
  <si>
    <t>Fecha implementación</t>
  </si>
  <si>
    <t>Fecha Del Monitoreo</t>
  </si>
  <si>
    <t>Reporte De La Ejecución De Los Controles</t>
  </si>
  <si>
    <t>Reporte De La Ejecución De Las Acciones Para El Fortalecimento Del Riesgo</t>
  </si>
  <si>
    <t>Reporte De Las Acciones Desarrolladas En Caso De Que Se Haya Materializado El Riesgo</t>
  </si>
  <si>
    <t>Observaciones Del Monitoreo</t>
  </si>
  <si>
    <t xml:space="preserve">OBSERVACIONES OFICINA ASESORA DE PLANEACIÓN </t>
  </si>
  <si>
    <t>OBSERVACIONES OFICINA DE CONTROL INTERNO</t>
  </si>
  <si>
    <t>Reputacional</t>
  </si>
  <si>
    <t>Quejas y denuncias</t>
  </si>
  <si>
    <t>incumplimiento de las condiciones mínimas de calidad y habitabilidad de los bienes muebles e inmuebles del Instituto</t>
  </si>
  <si>
    <t>Posibilidad de afectación reputacional por quejas o denuncias debido a incumplimiento de las condiciones mínimas de calidad y/o habitabilidad de la infraestructura física del Instituto o que se encuentran bajo su administración</t>
  </si>
  <si>
    <t>El riesgo afecta la imagen de la entidad con algunos usuarios de relevancia frente al logro de los objetivos.</t>
  </si>
  <si>
    <t>El líder del proceso de Gestión de Adecuación y Mantenimiento de Bienes formula anualmente un plan de mantenimiento de la infraestructura verificando que se de prioridad a las necesidades identificadas en los  diagnósticos generales de las unidades y sedes administrativas</t>
  </si>
  <si>
    <t>Preventivo</t>
  </si>
  <si>
    <t>Manual</t>
  </si>
  <si>
    <t>Procedimientos Mantenimiento Bienes Inmuebles A-MBI-PR- 001 y Procedimiento Mantenimiento de Equipos A-MBI-PR-002</t>
  </si>
  <si>
    <t>anual</t>
  </si>
  <si>
    <t>plan de mantenimiento formulado</t>
  </si>
  <si>
    <t>ACEPTAR EL RIESGO</t>
  </si>
  <si>
    <t>Revisar los documentos del proceso a fin de incluir en los procedimientos o manuales los controles definidos para mitigar los riesgos.</t>
  </si>
  <si>
    <t>Líder área de mantenimientos</t>
  </si>
  <si>
    <t>01/09/2024 al 31/12/2024</t>
  </si>
  <si>
    <t>El Gerente de Recursos Físicos en conjunto con el equipo de Gestión de Adecuación y Mantenimiento de Bienes se reunen para realizar el seguimiento del plan anual de mantenimiento en su ejecución y avance, para dar cumplimiento en la vigencia 2025 priorizando las intervenciones a realizar para dar cumplimiento.</t>
  </si>
  <si>
    <t>Se revisaron los documentos del proceso, con el fin de actualizarlos e incluir en los procedimientos y en el manual los controles definidos para mitigar los riesgos. ("Manual - Procesos de Apoyo – Gestión de Adecuación y Mantenimiento de Bienes de “001 CUIDADO Y MANTENIMIENTO DE LA INFRAESTRUCTURA A-GAMB-MA-001")</t>
  </si>
  <si>
    <t>N/A</t>
  </si>
  <si>
    <r>
      <rPr>
        <b/>
        <sz val="10"/>
        <color rgb="FF000000"/>
        <rFont val="Times New Roman"/>
      </rPr>
      <t>Control 1:</t>
    </r>
    <r>
      <rPr>
        <sz val="10"/>
        <color rgb="FF000000"/>
        <rFont val="Times New Roman"/>
      </rPr>
      <t xml:space="preserve"> Se realiza la verificación del control, donde se evidencia el plan de manejo y mantenimiento de infraestructura, así mismo se evidencia presentación de avances plan de mantenimiento  
</t>
    </r>
    <r>
      <rPr>
        <b/>
        <sz val="10"/>
        <color rgb="FF000000"/>
        <rFont val="Times New Roman"/>
      </rPr>
      <t xml:space="preserve">
Control 2:</t>
    </r>
    <r>
      <rPr>
        <sz val="10"/>
        <color rgb="FF000000"/>
        <rFont val="Times New Roman"/>
      </rPr>
      <t xml:space="preserve"> Las evidencias son revisadas y se verifica que los formatos relacionados son los A-GAMB-FT-012, en los cuales se verifica la información de seguimiento mencionada en el control 
</t>
    </r>
    <r>
      <rPr>
        <b/>
        <sz val="10"/>
        <color rgb="FF000000"/>
        <rFont val="Times New Roman"/>
      </rPr>
      <t xml:space="preserve">
Control 3:</t>
    </r>
    <r>
      <rPr>
        <sz val="10"/>
        <color rgb="FF000000"/>
        <rFont val="Times New Roman"/>
      </rPr>
      <t xml:space="preserve"> Se realiza la verificación del control, se evidencia acta de seguimiento trimestral, donde se valida el seguimiento.
</t>
    </r>
    <r>
      <rPr>
        <b/>
        <sz val="10"/>
        <color rgb="FF000000"/>
        <rFont val="Times New Roman"/>
      </rPr>
      <t xml:space="preserve">
Control 4:</t>
    </r>
    <r>
      <rPr>
        <sz val="10"/>
        <color rgb="FF000000"/>
        <rFont val="Times New Roman"/>
      </rPr>
      <t xml:space="preserve"> Se revisa evidencia y es consecuente con lo relacionado en el riesgo. 
</t>
    </r>
    <r>
      <rPr>
        <b/>
        <sz val="10"/>
        <color rgb="FF000000"/>
        <rFont val="Times New Roman"/>
      </rPr>
      <t xml:space="preserve">
Control 5: P</t>
    </r>
    <r>
      <rPr>
        <sz val="10"/>
        <color rgb="FF000000"/>
        <rFont val="Times New Roman"/>
      </rPr>
      <t xml:space="preserve">ara este periodo no presentan ninguna solicitud de queja por los servicios prestados.
</t>
    </r>
    <r>
      <rPr>
        <b/>
        <sz val="10"/>
        <color rgb="FF000000"/>
        <rFont val="Times New Roman"/>
      </rPr>
      <t>Control 6:</t>
    </r>
    <r>
      <rPr>
        <sz val="10"/>
        <color rgb="FF000000"/>
        <rFont val="Times New Roman"/>
      </rPr>
      <t xml:space="preserve"> Se verifica la evidencia y se aprueba toda vez que cumple con lo relacionado en el control.
Acción de Fortalecimiento: el Proceso refiere actualización "MANTENIMIENTO DE EQUIPOS INDUSTRIALES PARA LA ATENCIÓN DE NNAJ A-GAMB -PR-002" y el manual "CUIDADO Y MANTENIMIENTO DE LA INFRAESTRUCTURA A-GAMB-MA-001, sin embargo, no se evidencia soportes en la acción de fortalecimiento.
</t>
    </r>
    <r>
      <rPr>
        <b/>
        <u/>
        <sz val="10"/>
        <color rgb="FF000000"/>
        <rFont val="Times New Roman"/>
      </rPr>
      <t xml:space="preserve">
No se evidencia información relacionada con la acción de fortalcimiento
Se evidencio que no se materializo el riesgo.</t>
    </r>
  </si>
  <si>
    <t xml:space="preserve">Control 1: se evidenció la ejecución de la actividad de control
Control 2: se evidenció la ejecución de la actividad de control
Control 3: se evidenció la ejecución de la actividad de control
Control 4: se evidenció la ejecución de la actividad de control
Control 5: Se reportó que durante este periodo no se dio aplicación a la actividad de control
Control 6: se evidenció la ejecución de la actividad de control
Acción de Fortalecimiento: No se aportó evidencia que dé cuenta de la ejecución de la actividad </t>
  </si>
  <si>
    <t>Los profesionales del proceso de Gestión de Adecuación y Mantenimiento de Bienes, anualmente elaboran un diagnóstico general  y un diagnóstico de accesibilidad de las unidades y sedes admistrativas, verificando  las condiciones de habitabilidad y el estado de los inmuebles, asi como el cumplimiento de la normatividad vigente.</t>
  </si>
  <si>
    <t>Detectivo</t>
  </si>
  <si>
    <t>001 CUIDADO Y MANTENIMIENTO DE LA INFRAESTRUCTURA A-GAMB-MA-001 VR 03</t>
  </si>
  <si>
    <t>formato Diagnóstico técnico general de bien inmueble A-GAMB-FT-012</t>
  </si>
  <si>
    <t>Los profesionales elaboraron el diagnóstico técnico general de las unidades y sedes administrativas, donde se verificaron las condiciones y cumplimiento de normatividad de cada inmueble.</t>
  </si>
  <si>
    <t>El o la Gerente de Recursos Físicos y su equipo de trabajo supervisa trimestralmente  la oportuna  ejecución del plan de mantenimiento y el cumplimiento de las acciones programadas verificando los avances obtenidos contra la programacion realizada dejando como evidencia acta de reunión. En caso de que se determinen atrasos o incumplimientos en las acciones planeadas se generan acciones de contingencia que permitan avanzar en el cumplimiento del plan.</t>
  </si>
  <si>
    <t xml:space="preserve">MANTENIMIENTO DE BIENES INMUEBLES A-GAMB-PR-001 </t>
  </si>
  <si>
    <t>Trimestral</t>
  </si>
  <si>
    <t xml:space="preserve">Actas de reunión </t>
  </si>
  <si>
    <t>Se realizó reunión trimestral del proceso de Gestión de Adecuación y Mantenimiento de Bienes del primer trimestre para el seguimiento del Plan de Mantenimiento de la Infraestructura de la vigencia 2025, se verificó el avance del mismo y se prioriza las actividades  para dar cumplimiento.</t>
  </si>
  <si>
    <t>Cuando se presenta un imprevisto que afecte la habitabilidad de un bien inmueble y/o calidad de  equipos , el área de manetenimiento de bienes, verifica la situación, realiza diagnóstico, se solicitan los materiales y se realiza la intervención en el menor tiempo posible.</t>
  </si>
  <si>
    <t>Correctivo</t>
  </si>
  <si>
    <t>001 MANTENIMIENTO DE BIENES INMUEBLES A-MBI-PR-001 VR 05</t>
  </si>
  <si>
    <t>Cuando se presenta un imprevisto que afecte la habitabilidad de un bien inmueble</t>
  </si>
  <si>
    <t xml:space="preserve">Formato de  Control de Inspección y Ejecución de mantenimiento de Bienes e Infraestructura  A-GAMB-FT-007 </t>
  </si>
  <si>
    <t>Se atendió oportuna y eficazmente la emergencia presentada durante el periodo (Destapar los baños de la Sede Calle 15 de la subdirección tecnica poblacional y de atención a los beneficiarios se da entrega a conformidad el 14 de febrero de 2025).</t>
  </si>
  <si>
    <t>En caso de que se reciban reiteradas PQRS relacionadas con la misma situación de calidad y/o habitabilidad de la infraestructura física del Instituto en la misma UPI, el profesional delegado por la Gerencia de Recursos Físicos genera una alerta para el o la Gerente de Recursos Físicos con el fin de que se atiendan en el menor tiempo posible y se corrija la situación.</t>
  </si>
  <si>
    <t>No se encuentra documentado</t>
  </si>
  <si>
    <t>En caso de que se reciban reiteradas PQRS relacionadas con la misma situación de calidad y/o habitabilidad de la infraestructura física del Instituto</t>
  </si>
  <si>
    <t>Correo electrónico con la alerta generada</t>
  </si>
  <si>
    <t>No se recibieron PQRS relacionadas con la misma situación de calidad y/o habitabilidad de la infraestructura física del Instituto en la misma UPI.</t>
  </si>
  <si>
    <t>El o la Gerente de Recursos Físicos verifica anualmente que la infraestructura de la entidad se encuentre asegurada contra situaciones inesperadas y ambientales que afecten las condiciones minimas de habitabilidad</t>
  </si>
  <si>
    <t>Anualmente</t>
  </si>
  <si>
    <t>Polizas vigentes</t>
  </si>
  <si>
    <t>El Gerente de Recursos Físicos verificó que la infraestructura de la entidad se encuentra asegurada contra situaciones inesperadas y ambientales que afecten las condiciones minimas de habitabilidad.</t>
  </si>
  <si>
    <t>area de impacto</t>
  </si>
  <si>
    <t>PROBABILIDAD DE OCURRENCIA</t>
  </si>
  <si>
    <t>IMPACTO</t>
  </si>
  <si>
    <t>CONDICIONES RIESGO INHERENTE</t>
  </si>
  <si>
    <t>AFECTACIÓN ECONÓMICA O PRESUPUESTAL</t>
  </si>
  <si>
    <t>Económico</t>
  </si>
  <si>
    <t>MUY BAJA</t>
  </si>
  <si>
    <t>LEVE</t>
  </si>
  <si>
    <t>MUY BAJA - LEVE</t>
  </si>
  <si>
    <t>BAJO</t>
  </si>
  <si>
    <t>Afectación Menor a 700 SMLMV</t>
  </si>
  <si>
    <t>Leve</t>
  </si>
  <si>
    <t>BAJA</t>
  </si>
  <si>
    <t>MENOR</t>
  </si>
  <si>
    <t>MUY BAJA - MENOR</t>
  </si>
  <si>
    <t>Afectación Entre 700 y 1500 SMLMV</t>
  </si>
  <si>
    <t>Menor</t>
  </si>
  <si>
    <t>Económico y Reputacional</t>
  </si>
  <si>
    <t>MEDIA</t>
  </si>
  <si>
    <t>MODERADO</t>
  </si>
  <si>
    <t>MUY BAJA - MODERADO</t>
  </si>
  <si>
    <t>Afectación Entre 1500 y 2300 SMLMV</t>
  </si>
  <si>
    <t>Moderado</t>
  </si>
  <si>
    <t>ALTA</t>
  </si>
  <si>
    <t>MAYOR</t>
  </si>
  <si>
    <t>MUY BAJA - MAYOR</t>
  </si>
  <si>
    <t>ALTO</t>
  </si>
  <si>
    <t>Afectación Entre 2300 y 3000 SMLMV</t>
  </si>
  <si>
    <t>Mayor</t>
  </si>
  <si>
    <t>MUY ALTA</t>
  </si>
  <si>
    <t>CATASTRÓFICO</t>
  </si>
  <si>
    <t>MUY BAJA - CATASTRÓFICO</t>
  </si>
  <si>
    <t>EXTREMO</t>
  </si>
  <si>
    <t xml:space="preserve">Afectación Mayor a 3000 SMLMV </t>
  </si>
  <si>
    <t>Catastrófico</t>
  </si>
  <si>
    <t>BAJA - LEVE</t>
  </si>
  <si>
    <t>BAJA - MENOR</t>
  </si>
  <si>
    <t>AFECTACIÓN REPUTACIONAL</t>
  </si>
  <si>
    <t>BAJA - MODERADO</t>
  </si>
  <si>
    <t>El riesgo afecta la imagen de algún área de la organización.</t>
  </si>
  <si>
    <t>BAJA - MAYOR</t>
  </si>
  <si>
    <t>El riesgo afecta la imagen de la entidad internamente, de conocimiento general nivel interno, de junta directiva y/o de proveedores</t>
  </si>
  <si>
    <t>BAJA - CATASTRÓFICO</t>
  </si>
  <si>
    <t>MEDIA - LEVE</t>
  </si>
  <si>
    <t>El riesgo afecta la imagen de la entidad con efecto publicitario sostenido a nivel de sector administrativo o distrital</t>
  </si>
  <si>
    <t>MEDIA - MENOR</t>
  </si>
  <si>
    <t>El riesgo afecta la imagen de la entidad a nivel nacional, con efecto publicitario sostenido a nivel país</t>
  </si>
  <si>
    <t>MEDIA - MODERADO</t>
  </si>
  <si>
    <t>MEDIA - MAYOR</t>
  </si>
  <si>
    <t>MEDIA - CATASTRÓFICO</t>
  </si>
  <si>
    <t>ALTA - LEVE</t>
  </si>
  <si>
    <t>TIPO DE CONTROL</t>
  </si>
  <si>
    <t>ALTA - MENOR</t>
  </si>
  <si>
    <t>ALTA - MODERADO</t>
  </si>
  <si>
    <t>ALTA - MAYOR</t>
  </si>
  <si>
    <t>ALTA - CATASTRÓFICO</t>
  </si>
  <si>
    <t>MUY ALTA - LEVE</t>
  </si>
  <si>
    <t>IMPLEMENTACIÓN</t>
  </si>
  <si>
    <t>MUY ALTA - MENOR</t>
  </si>
  <si>
    <t>Automático</t>
  </si>
  <si>
    <t>MUY ALTA - MODERADO</t>
  </si>
  <si>
    <t>MUY ALTA - MAYOR</t>
  </si>
  <si>
    <t>MUY ALTA - CATASTRÓFICO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</si>
</sst>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7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0"/>
      <color theme="1"/>
      <name val="Times New Roman"/>
      <family val="1"/>
    </font>
    <font>
      <sz val="14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2"/>
      <name val="Times New Roman"/>
      <family val="1"/>
    </font>
    <font>
      <b/>
      <sz val="18"/>
      <color theme="1"/>
      <name val="Times New Roman"/>
      <family val="1"/>
    </font>
    <font>
      <sz val="10"/>
      <color theme="1"/>
      <name val="Times New Roman"/>
      <family val="1"/>
    </font>
    <font>
      <sz val="12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</font>
    <font>
      <sz val="10"/>
      <color rgb="FF000000"/>
      <name val="Times New Roman"/>
    </font>
    <font>
      <b/>
      <u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41" fontId="6" fillId="0" borderId="0" applyFont="0" applyFill="0" applyBorder="0" applyAlignment="0" applyProtection="0"/>
  </cellStyleXfs>
  <cellXfs count="20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1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3" fillId="2" borderId="30" xfId="0" applyFont="1" applyFill="1" applyBorder="1" applyAlignment="1">
      <alignment horizontal="center" vertical="center" textRotation="90"/>
    </xf>
    <xf numFmtId="0" fontId="5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textRotation="90" wrapText="1"/>
    </xf>
    <xf numFmtId="0" fontId="2" fillId="2" borderId="30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 textRotation="90" wrapText="1"/>
    </xf>
    <xf numFmtId="0" fontId="2" fillId="2" borderId="30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textRotation="90"/>
    </xf>
    <xf numFmtId="0" fontId="2" fillId="0" borderId="16" xfId="0" applyFont="1" applyBorder="1" applyAlignment="1">
      <alignment horizontal="center" vertical="center" textRotation="90" wrapText="1"/>
    </xf>
    <xf numFmtId="0" fontId="3" fillId="3" borderId="5" xfId="0" applyFont="1" applyFill="1" applyBorder="1" applyAlignment="1">
      <alignment horizontal="center" vertical="center" wrapText="1"/>
    </xf>
    <xf numFmtId="9" fontId="0" fillId="0" borderId="0" xfId="0" applyNumberFormat="1"/>
    <xf numFmtId="0" fontId="7" fillId="0" borderId="0" xfId="0" applyFont="1"/>
    <xf numFmtId="0" fontId="0" fillId="0" borderId="0" xfId="0" applyAlignment="1">
      <alignment wrapText="1"/>
    </xf>
    <xf numFmtId="9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0" fontId="2" fillId="2" borderId="23" xfId="0" applyFont="1" applyFill="1" applyBorder="1"/>
    <xf numFmtId="0" fontId="2" fillId="2" borderId="7" xfId="0" applyFont="1" applyFill="1" applyBorder="1"/>
    <xf numFmtId="0" fontId="1" fillId="2" borderId="5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1" xfId="0" applyFont="1" applyBorder="1" applyAlignment="1">
      <alignment horizontal="left"/>
    </xf>
    <xf numFmtId="0" fontId="2" fillId="0" borderId="10" xfId="0" applyFont="1" applyBorder="1" applyAlignment="1">
      <alignment horizontal="center" vertical="center" textRotation="90"/>
    </xf>
    <xf numFmtId="0" fontId="2" fillId="0" borderId="29" xfId="0" applyFont="1" applyBorder="1" applyAlignment="1">
      <alignment horizontal="left"/>
    </xf>
    <xf numFmtId="0" fontId="2" fillId="2" borderId="31" xfId="0" applyFont="1" applyFill="1" applyBorder="1" applyAlignment="1">
      <alignment horizontal="center" vertical="center" wrapText="1"/>
    </xf>
    <xf numFmtId="0" fontId="11" fillId="0" borderId="0" xfId="0" applyFont="1"/>
    <xf numFmtId="0" fontId="4" fillId="0" borderId="0" xfId="0" applyFont="1"/>
    <xf numFmtId="0" fontId="11" fillId="2" borderId="30" xfId="0" applyFont="1" applyFill="1" applyBorder="1" applyAlignment="1">
      <alignment horizontal="center" vertical="center" wrapText="1"/>
    </xf>
    <xf numFmtId="0" fontId="11" fillId="2" borderId="4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9" fontId="9" fillId="4" borderId="10" xfId="0" applyNumberFormat="1" applyFont="1" applyFill="1" applyBorder="1" applyAlignment="1">
      <alignment horizontal="center" vertical="center"/>
    </xf>
    <xf numFmtId="9" fontId="9" fillId="4" borderId="1" xfId="0" applyNumberFormat="1" applyFont="1" applyFill="1" applyBorder="1" applyAlignment="1">
      <alignment horizontal="center" vertical="center"/>
    </xf>
    <xf numFmtId="9" fontId="9" fillId="4" borderId="16" xfId="0" applyNumberFormat="1" applyFont="1" applyFill="1" applyBorder="1" applyAlignment="1">
      <alignment horizontal="center" vertical="center"/>
    </xf>
    <xf numFmtId="9" fontId="2" fillId="4" borderId="10" xfId="0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 textRotation="90"/>
    </xf>
    <xf numFmtId="0" fontId="3" fillId="4" borderId="10" xfId="0" applyFont="1" applyFill="1" applyBorder="1" applyAlignment="1">
      <alignment horizontal="center" vertical="center" textRotation="90"/>
    </xf>
    <xf numFmtId="9" fontId="2" fillId="4" borderId="10" xfId="0" applyNumberFormat="1" applyFont="1" applyFill="1" applyBorder="1" applyAlignment="1">
      <alignment horizontal="center" vertical="center" textRotation="90"/>
    </xf>
    <xf numFmtId="9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3" fillId="4" borderId="1" xfId="0" applyFont="1" applyFill="1" applyBorder="1" applyAlignment="1">
      <alignment horizontal="center" vertical="center" textRotation="90"/>
    </xf>
    <xf numFmtId="9" fontId="2" fillId="4" borderId="1" xfId="0" applyNumberFormat="1" applyFont="1" applyFill="1" applyBorder="1" applyAlignment="1">
      <alignment horizontal="center" vertical="center" textRotation="90"/>
    </xf>
    <xf numFmtId="9" fontId="2" fillId="4" borderId="16" xfId="0" applyNumberFormat="1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 textRotation="90"/>
    </xf>
    <xf numFmtId="0" fontId="3" fillId="4" borderId="16" xfId="0" applyFont="1" applyFill="1" applyBorder="1" applyAlignment="1">
      <alignment horizontal="center" vertical="center" textRotation="90"/>
    </xf>
    <xf numFmtId="9" fontId="2" fillId="4" borderId="16" xfId="0" applyNumberFormat="1" applyFont="1" applyFill="1" applyBorder="1" applyAlignment="1">
      <alignment horizontal="center" vertical="center" textRotation="90"/>
    </xf>
    <xf numFmtId="0" fontId="2" fillId="4" borderId="10" xfId="0" applyFont="1" applyFill="1" applyBorder="1" applyAlignment="1">
      <alignment vertical="center" textRotation="90"/>
    </xf>
    <xf numFmtId="0" fontId="2" fillId="4" borderId="1" xfId="0" applyFont="1" applyFill="1" applyBorder="1" applyAlignment="1">
      <alignment vertical="center" textRotation="90"/>
    </xf>
    <xf numFmtId="0" fontId="2" fillId="4" borderId="16" xfId="0" applyFont="1" applyFill="1" applyBorder="1" applyAlignment="1">
      <alignment vertical="center" textRotation="90"/>
    </xf>
    <xf numFmtId="0" fontId="2" fillId="0" borderId="3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41" xfId="0" applyFont="1" applyBorder="1" applyAlignment="1">
      <alignment vertical="center" wrapText="1"/>
    </xf>
    <xf numFmtId="0" fontId="2" fillId="4" borderId="18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9" fillId="0" borderId="42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textRotation="90" wrapText="1"/>
    </xf>
    <xf numFmtId="0" fontId="12" fillId="3" borderId="1" xfId="0" applyFont="1" applyFill="1" applyBorder="1" applyAlignment="1">
      <alignment horizontal="center" vertical="center" textRotation="90" wrapText="1"/>
    </xf>
    <xf numFmtId="0" fontId="12" fillId="0" borderId="16" xfId="0" applyFont="1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12" fillId="0" borderId="44" xfId="0" applyFont="1" applyBorder="1" applyAlignment="1">
      <alignment vertical="center" wrapText="1"/>
    </xf>
    <xf numFmtId="0" fontId="2" fillId="0" borderId="43" xfId="0" applyFont="1" applyBorder="1" applyAlignment="1">
      <alignment vertical="center" wrapText="1"/>
    </xf>
    <xf numFmtId="0" fontId="12" fillId="0" borderId="43" xfId="0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4" fillId="0" borderId="20" xfId="0" applyNumberFormat="1" applyFont="1" applyBorder="1" applyAlignment="1">
      <alignment horizontal="center" vertical="center" wrapText="1"/>
    </xf>
    <xf numFmtId="49" fontId="4" fillId="0" borderId="22" xfId="0" applyNumberFormat="1" applyFont="1" applyBorder="1" applyAlignment="1">
      <alignment horizontal="center" vertical="center" wrapText="1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14" fontId="1" fillId="0" borderId="20" xfId="0" applyNumberFormat="1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14" fontId="12" fillId="0" borderId="11" xfId="0" applyNumberFormat="1" applyFont="1" applyBorder="1" applyAlignment="1">
      <alignment horizontal="center" vertical="center" wrapText="1"/>
    </xf>
    <xf numFmtId="14" fontId="12" fillId="0" borderId="38" xfId="0" applyNumberFormat="1" applyFont="1" applyBorder="1" applyAlignment="1">
      <alignment horizontal="center" vertical="center" wrapText="1"/>
    </xf>
    <xf numFmtId="14" fontId="12" fillId="0" borderId="39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9" fontId="3" fillId="4" borderId="10" xfId="0" applyNumberFormat="1" applyFont="1" applyFill="1" applyBorder="1" applyAlignment="1">
      <alignment horizontal="center" vertical="center"/>
    </xf>
    <xf numFmtId="9" fontId="3" fillId="4" borderId="6" xfId="0" applyNumberFormat="1" applyFont="1" applyFill="1" applyBorder="1" applyAlignment="1">
      <alignment horizontal="center" vertical="center"/>
    </xf>
    <xf numFmtId="9" fontId="3" fillId="4" borderId="1" xfId="0" applyNumberFormat="1" applyFont="1" applyFill="1" applyBorder="1" applyAlignment="1">
      <alignment horizontal="center" vertical="center"/>
    </xf>
    <xf numFmtId="9" fontId="3" fillId="4" borderId="5" xfId="0" applyNumberFormat="1" applyFont="1" applyFill="1" applyBorder="1" applyAlignment="1">
      <alignment horizontal="center" vertical="center"/>
    </xf>
    <xf numFmtId="9" fontId="3" fillId="4" borderId="1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1" fontId="3" fillId="0" borderId="9" xfId="1" applyFont="1" applyBorder="1" applyAlignment="1">
      <alignment horizontal="center" vertical="center" wrapText="1"/>
    </xf>
    <xf numFmtId="41" fontId="3" fillId="0" borderId="32" xfId="1" applyFont="1" applyBorder="1" applyAlignment="1">
      <alignment horizontal="center" vertical="center" wrapText="1"/>
    </xf>
    <xf numFmtId="41" fontId="3" fillId="0" borderId="33" xfId="1" applyFont="1" applyBorder="1" applyAlignment="1">
      <alignment horizontal="center" vertical="center" wrapText="1"/>
    </xf>
    <xf numFmtId="9" fontId="3" fillId="4" borderId="9" xfId="0" applyNumberFormat="1" applyFont="1" applyFill="1" applyBorder="1" applyAlignment="1">
      <alignment horizontal="center" vertical="center"/>
    </xf>
    <xf numFmtId="9" fontId="3" fillId="4" borderId="32" xfId="0" applyNumberFormat="1" applyFont="1" applyFill="1" applyBorder="1" applyAlignment="1">
      <alignment horizontal="center" vertical="center"/>
    </xf>
    <xf numFmtId="9" fontId="3" fillId="4" borderId="33" xfId="0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 textRotation="90"/>
    </xf>
    <xf numFmtId="0" fontId="1" fillId="0" borderId="12" xfId="0" applyFont="1" applyBorder="1" applyAlignment="1">
      <alignment horizontal="center" vertical="center" textRotation="90"/>
    </xf>
    <xf numFmtId="0" fontId="1" fillId="0" borderId="14" xfId="0" applyFont="1" applyBorder="1" applyAlignment="1">
      <alignment horizontal="center" vertical="center" textRotation="90"/>
    </xf>
    <xf numFmtId="0" fontId="1" fillId="0" borderId="31" xfId="0" applyFont="1" applyBorder="1" applyAlignment="1">
      <alignment horizontal="center" vertical="center" textRotation="90"/>
    </xf>
    <xf numFmtId="0" fontId="1" fillId="0" borderId="17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textRotation="90"/>
    </xf>
    <xf numFmtId="0" fontId="10" fillId="4" borderId="32" xfId="0" applyFont="1" applyFill="1" applyBorder="1" applyAlignment="1">
      <alignment horizontal="center" vertical="center" textRotation="90"/>
    </xf>
    <xf numFmtId="0" fontId="10" fillId="4" borderId="33" xfId="0" applyFont="1" applyFill="1" applyBorder="1" applyAlignment="1">
      <alignment horizontal="center" vertical="center" textRotation="90"/>
    </xf>
    <xf numFmtId="0" fontId="3" fillId="4" borderId="10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9" fontId="3" fillId="0" borderId="9" xfId="0" applyNumberFormat="1" applyFont="1" applyBorder="1" applyAlignment="1">
      <alignment horizontal="center" vertical="center" wrapText="1"/>
    </xf>
    <xf numFmtId="9" fontId="3" fillId="0" borderId="32" xfId="0" applyNumberFormat="1" applyFont="1" applyBorder="1" applyAlignment="1">
      <alignment horizontal="center" vertical="center" wrapText="1"/>
    </xf>
    <xf numFmtId="9" fontId="3" fillId="0" borderId="33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14" fontId="11" fillId="0" borderId="30" xfId="0" applyNumberFormat="1" applyFont="1" applyBorder="1" applyAlignment="1" applyProtection="1">
      <alignment horizontal="center" vertical="center"/>
      <protection locked="0"/>
    </xf>
    <xf numFmtId="0" fontId="11" fillId="0" borderId="35" xfId="0" applyFont="1" applyBorder="1" applyAlignment="1" applyProtection="1">
      <alignment horizontal="center" vertical="center"/>
      <protection locked="0"/>
    </xf>
    <xf numFmtId="0" fontId="11" fillId="0" borderId="37" xfId="0" applyFont="1" applyBorder="1" applyAlignment="1" applyProtection="1">
      <alignment horizontal="center" vertical="center"/>
      <protection locked="0"/>
    </xf>
    <xf numFmtId="0" fontId="12" fillId="0" borderId="40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15" fillId="0" borderId="13" xfId="0" applyFont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left" vertical="top" wrapText="1"/>
      <protection locked="0"/>
    </xf>
    <xf numFmtId="0" fontId="11" fillId="0" borderId="13" xfId="0" applyFont="1" applyBorder="1" applyAlignment="1" applyProtection="1">
      <alignment horizontal="left" vertical="top" wrapText="1"/>
      <protection locked="0"/>
    </xf>
  </cellXfs>
  <cellStyles count="2">
    <cellStyle name="Millares [0]" xfId="1" builtinId="6"/>
    <cellStyle name="Normal" xfId="0" builtinId="0"/>
  </cellStyles>
  <dxfs count="28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theme="9" tint="0.39994506668294322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theme="5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00B050"/>
        </patternFill>
      </fill>
    </dxf>
    <dxf>
      <font>
        <b/>
        <i val="0"/>
        <color auto="1"/>
      </font>
      <fill>
        <patternFill>
          <bgColor theme="9" tint="0.39994506668294322"/>
        </patternFill>
      </fill>
    </dxf>
    <dxf>
      <font>
        <b/>
        <i val="0"/>
        <color auto="1"/>
      </font>
      <fill>
        <patternFill>
          <bgColor rgb="FF00B05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theme="5"/>
        </patternFill>
      </fill>
    </dxf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560916</xdr:colOff>
      <xdr:row>0</xdr:row>
      <xdr:rowOff>101599</xdr:rowOff>
    </xdr:from>
    <xdr:to>
      <xdr:col>1</xdr:col>
      <xdr:colOff>1238250</xdr:colOff>
      <xdr:row>7</xdr:row>
      <xdr:rowOff>20600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E60A1A9-1B5B-40C5-86A9-D67FB6E8FA5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916" y="101599"/>
          <a:ext cx="1439334" cy="145252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ngton Granados Herrera" id="{CA660FF7-2CDE-4B96-ACF1-1E4E51863587}" userId="S::willington.granados@idipron.gov.co::31b240b4-d49a-4bf7-b038-72480c7a6c42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17" dT="2022-04-06T19:36:56.41" personId="{CA660FF7-2CDE-4B96-ACF1-1E4E51863587}" id="{8918070B-19C8-464C-B2B0-E05548DA8FE4}">
    <text>Se toma como referencia el numero de días al año que la infraestructura de la entidad esta en uso.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2"/>
  <sheetViews>
    <sheetView showGridLines="0" tabSelected="1" topLeftCell="AP16" zoomScale="70" zoomScaleNormal="70" zoomScaleSheetLayoutView="90" workbookViewId="0">
      <selection activeCell="AU17" sqref="AU17"/>
    </sheetView>
  </sheetViews>
  <sheetFormatPr defaultColWidth="10.7109375" defaultRowHeight="15.6"/>
  <cols>
    <col min="2" max="2" width="27.140625" customWidth="1"/>
    <col min="3" max="3" width="26" customWidth="1"/>
    <col min="4" max="4" width="19.140625" customWidth="1"/>
    <col min="5" max="5" width="25.42578125" customWidth="1"/>
    <col min="6" max="6" width="25.42578125" hidden="1" customWidth="1"/>
    <col min="7" max="8" width="20.140625" customWidth="1"/>
    <col min="9" max="9" width="9.42578125" customWidth="1"/>
    <col min="10" max="10" width="25.42578125" customWidth="1"/>
    <col min="11" max="11" width="32.85546875" customWidth="1"/>
    <col min="12" max="12" width="20.140625" style="1" customWidth="1"/>
    <col min="13" max="13" width="9.42578125" style="1" customWidth="1"/>
    <col min="14" max="14" width="26.85546875" style="1" customWidth="1"/>
    <col min="15" max="15" width="11.28515625" style="1" customWidth="1"/>
    <col min="16" max="16" width="1" style="1" customWidth="1"/>
    <col min="17" max="17" width="5.140625" style="1" customWidth="1"/>
    <col min="18" max="18" width="52.85546875" style="1" customWidth="1"/>
    <col min="19" max="19" width="15.85546875" style="1" customWidth="1"/>
    <col min="20" max="22" width="5.140625" style="1" customWidth="1"/>
    <col min="23" max="23" width="18.42578125" style="1" customWidth="1"/>
    <col min="24" max="24" width="10.7109375" style="1" customWidth="1"/>
    <col min="25" max="25" width="10.85546875" style="1" customWidth="1"/>
    <col min="26" max="28" width="7.28515625" style="1" customWidth="1"/>
    <col min="29" max="29" width="8" style="1" customWidth="1"/>
    <col min="30" max="31" width="7.28515625" style="1" customWidth="1"/>
    <col min="32" max="32" width="9.28515625" style="1" customWidth="1"/>
    <col min="33" max="33" width="8.5703125" style="4" customWidth="1"/>
    <col min="34" max="34" width="1" style="4" customWidth="1"/>
    <col min="35" max="35" width="26.85546875" style="4" customWidth="1"/>
    <col min="36" max="36" width="26.7109375" style="1" customWidth="1"/>
    <col min="37" max="37" width="20.85546875" style="1" customWidth="1"/>
    <col min="38" max="38" width="1" customWidth="1"/>
    <col min="39" max="39" width="18.28515625" customWidth="1"/>
    <col min="40" max="43" width="45" customWidth="1"/>
    <col min="44" max="44" width="1" customWidth="1"/>
    <col min="45" max="46" width="45" customWidth="1"/>
  </cols>
  <sheetData>
    <row r="1" spans="1:46" ht="15.75" customHeight="1">
      <c r="A1" s="85"/>
      <c r="B1" s="86"/>
      <c r="C1" s="76" t="s">
        <v>0</v>
      </c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8"/>
      <c r="AQ1" s="85" t="s">
        <v>1</v>
      </c>
      <c r="AR1" s="86"/>
      <c r="AS1" s="89" t="s">
        <v>2</v>
      </c>
      <c r="AT1" s="90"/>
    </row>
    <row r="2" spans="1:46" ht="15.75" customHeight="1" thickBot="1">
      <c r="A2" s="113"/>
      <c r="B2" s="114"/>
      <c r="C2" s="79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1"/>
      <c r="AQ2" s="87"/>
      <c r="AR2" s="88"/>
      <c r="AS2" s="91"/>
      <c r="AT2" s="92"/>
    </row>
    <row r="3" spans="1:46" ht="15.75" customHeight="1">
      <c r="A3" s="113"/>
      <c r="B3" s="114"/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1"/>
      <c r="AQ3" s="85" t="s">
        <v>3</v>
      </c>
      <c r="AR3" s="86"/>
      <c r="AS3" s="93" t="s">
        <v>4</v>
      </c>
      <c r="AT3" s="94"/>
    </row>
    <row r="4" spans="1:46" ht="16.5" customHeight="1" thickBot="1">
      <c r="A4" s="113"/>
      <c r="B4" s="114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4"/>
      <c r="AQ4" s="87"/>
      <c r="AR4" s="88"/>
      <c r="AS4" s="95"/>
      <c r="AT4" s="96"/>
    </row>
    <row r="5" spans="1:46" ht="20.45" customHeight="1">
      <c r="A5" s="113"/>
      <c r="B5" s="114"/>
      <c r="C5" s="79" t="s">
        <v>5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1"/>
      <c r="AQ5" s="85" t="s">
        <v>6</v>
      </c>
      <c r="AR5" s="86"/>
      <c r="AS5" s="85" t="s">
        <v>7</v>
      </c>
      <c r="AT5" s="86"/>
    </row>
    <row r="6" spans="1:46" ht="15" customHeight="1" thickBot="1">
      <c r="A6" s="113"/>
      <c r="B6" s="114"/>
      <c r="C6" s="79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1"/>
      <c r="AQ6" s="87"/>
      <c r="AR6" s="88"/>
      <c r="AS6" s="87"/>
      <c r="AT6" s="88"/>
    </row>
    <row r="7" spans="1:46" ht="15.75" customHeight="1">
      <c r="A7" s="113"/>
      <c r="B7" s="114"/>
      <c r="C7" s="79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1"/>
      <c r="AQ7" s="85" t="s">
        <v>8</v>
      </c>
      <c r="AR7" s="86"/>
      <c r="AS7" s="97">
        <v>44651</v>
      </c>
      <c r="AT7" s="90"/>
    </row>
    <row r="8" spans="1:46" ht="16.5" customHeight="1" thickBot="1">
      <c r="A8" s="87"/>
      <c r="B8" s="88"/>
      <c r="C8" s="82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4"/>
      <c r="AQ8" s="87"/>
      <c r="AR8" s="88"/>
      <c r="AS8" s="91"/>
      <c r="AT8" s="92"/>
    </row>
    <row r="10" spans="1:46" ht="54" customHeight="1">
      <c r="A10" s="145" t="s">
        <v>9</v>
      </c>
      <c r="B10" s="145"/>
      <c r="C10" s="145"/>
      <c r="D10" s="146" t="s">
        <v>10</v>
      </c>
      <c r="E10" s="147"/>
      <c r="F10" s="147"/>
      <c r="G10" s="147"/>
      <c r="H10" s="147"/>
      <c r="I10" s="147"/>
      <c r="J10" s="147"/>
      <c r="K10" s="147"/>
      <c r="L10" s="147"/>
      <c r="M10" s="148"/>
      <c r="N10" s="29"/>
      <c r="AG10" s="1"/>
      <c r="AH10" s="1"/>
      <c r="AI10" s="1"/>
    </row>
    <row r="11" spans="1:46" s="3" customFormat="1" ht="75" customHeight="1">
      <c r="A11" s="145" t="s">
        <v>11</v>
      </c>
      <c r="B11" s="145"/>
      <c r="C11" s="145"/>
      <c r="D11" s="149" t="s">
        <v>12</v>
      </c>
      <c r="E11" s="150"/>
      <c r="F11" s="150"/>
      <c r="G11" s="150"/>
      <c r="H11" s="150"/>
      <c r="I11" s="150"/>
      <c r="J11" s="150"/>
      <c r="K11" s="150"/>
      <c r="L11" s="150"/>
      <c r="M11" s="151"/>
      <c r="N11" s="30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46" s="3" customFormat="1" ht="75" customHeight="1">
      <c r="A12" s="145" t="s">
        <v>13</v>
      </c>
      <c r="B12" s="145"/>
      <c r="C12" s="145"/>
      <c r="D12" s="149" t="s">
        <v>14</v>
      </c>
      <c r="E12" s="150"/>
      <c r="F12" s="150"/>
      <c r="G12" s="150"/>
      <c r="H12" s="150"/>
      <c r="I12" s="150"/>
      <c r="J12" s="150"/>
      <c r="K12" s="150"/>
      <c r="L12" s="150"/>
      <c r="M12" s="151"/>
      <c r="N12" s="30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46" s="3" customFormat="1" ht="24.75" customHeight="1" thickBo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46" s="3" customFormat="1" ht="24.75" customHeight="1">
      <c r="A14" s="115" t="s">
        <v>15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7"/>
      <c r="O14" s="118"/>
      <c r="P14" s="2"/>
      <c r="Q14" s="123" t="s">
        <v>16</v>
      </c>
      <c r="R14" s="124"/>
      <c r="S14" s="124"/>
      <c r="T14" s="125"/>
      <c r="U14" s="125"/>
      <c r="V14" s="125"/>
      <c r="W14" s="125"/>
      <c r="X14" s="125"/>
      <c r="Y14" s="125"/>
      <c r="Z14" s="124"/>
      <c r="AA14" s="124"/>
      <c r="AB14" s="124"/>
      <c r="AC14" s="124"/>
      <c r="AD14" s="124"/>
      <c r="AE14" s="124"/>
      <c r="AF14" s="124"/>
      <c r="AG14" s="126"/>
      <c r="AH14" s="2"/>
      <c r="AI14" s="98" t="s">
        <v>17</v>
      </c>
      <c r="AJ14" s="99"/>
      <c r="AK14" s="100"/>
      <c r="AM14" s="98" t="s">
        <v>18</v>
      </c>
      <c r="AN14" s="99"/>
      <c r="AO14" s="99"/>
      <c r="AP14" s="99"/>
      <c r="AQ14" s="99"/>
      <c r="AR14" s="39"/>
      <c r="AS14" s="98" t="s">
        <v>19</v>
      </c>
      <c r="AT14" s="100"/>
    </row>
    <row r="15" spans="1:46">
      <c r="A15" s="119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1"/>
      <c r="O15" s="122"/>
      <c r="P15" s="2"/>
      <c r="Q15" s="31"/>
      <c r="R15" s="32"/>
      <c r="S15" s="32"/>
      <c r="T15" s="129" t="s">
        <v>20</v>
      </c>
      <c r="U15" s="129"/>
      <c r="V15" s="129"/>
      <c r="W15" s="129"/>
      <c r="X15" s="129"/>
      <c r="Y15" s="129"/>
      <c r="Z15" s="127"/>
      <c r="AA15" s="127"/>
      <c r="AB15" s="127"/>
      <c r="AC15" s="127"/>
      <c r="AD15" s="127"/>
      <c r="AE15" s="127"/>
      <c r="AF15" s="127"/>
      <c r="AG15" s="128"/>
      <c r="AH15" s="2"/>
      <c r="AI15" s="101"/>
      <c r="AJ15" s="102"/>
      <c r="AK15" s="103"/>
      <c r="AM15" s="101"/>
      <c r="AN15" s="102"/>
      <c r="AO15" s="102"/>
      <c r="AP15" s="102"/>
      <c r="AQ15" s="102"/>
      <c r="AR15" s="39"/>
      <c r="AS15" s="101"/>
      <c r="AT15" s="103"/>
    </row>
    <row r="16" spans="1:46" s="5" customFormat="1" ht="106.5" customHeight="1">
      <c r="A16" s="11" t="s">
        <v>21</v>
      </c>
      <c r="B16" s="12" t="s">
        <v>22</v>
      </c>
      <c r="C16" s="13" t="s">
        <v>23</v>
      </c>
      <c r="D16" s="13" t="s">
        <v>24</v>
      </c>
      <c r="E16" s="14" t="s">
        <v>25</v>
      </c>
      <c r="F16" s="24" t="s">
        <v>26</v>
      </c>
      <c r="G16" s="43" t="s">
        <v>27</v>
      </c>
      <c r="H16" s="14" t="s">
        <v>28</v>
      </c>
      <c r="I16" s="13" t="s">
        <v>29</v>
      </c>
      <c r="J16" s="13" t="s">
        <v>30</v>
      </c>
      <c r="K16" s="14" t="s">
        <v>31</v>
      </c>
      <c r="L16" s="14" t="s">
        <v>32</v>
      </c>
      <c r="M16" s="13" t="s">
        <v>29</v>
      </c>
      <c r="N16" s="13" t="s">
        <v>33</v>
      </c>
      <c r="O16" s="15" t="s">
        <v>34</v>
      </c>
      <c r="P16" s="2"/>
      <c r="Q16" s="16" t="s">
        <v>35</v>
      </c>
      <c r="R16" s="17" t="s">
        <v>36</v>
      </c>
      <c r="S16" s="33" t="s">
        <v>37</v>
      </c>
      <c r="T16" s="18" t="s">
        <v>38</v>
      </c>
      <c r="U16" s="18" t="s">
        <v>39</v>
      </c>
      <c r="V16" s="18" t="s">
        <v>40</v>
      </c>
      <c r="W16" s="18" t="s">
        <v>41</v>
      </c>
      <c r="X16" s="18" t="s">
        <v>42</v>
      </c>
      <c r="Y16" s="18" t="s">
        <v>43</v>
      </c>
      <c r="Z16" s="19" t="s">
        <v>44</v>
      </c>
      <c r="AA16" s="19" t="s">
        <v>45</v>
      </c>
      <c r="AB16" s="19" t="s">
        <v>29</v>
      </c>
      <c r="AC16" s="19" t="s">
        <v>46</v>
      </c>
      <c r="AD16" s="19" t="s">
        <v>29</v>
      </c>
      <c r="AE16" s="19" t="s">
        <v>33</v>
      </c>
      <c r="AF16" s="19" t="s">
        <v>47</v>
      </c>
      <c r="AG16" s="15" t="s">
        <v>48</v>
      </c>
      <c r="AH16" s="2"/>
      <c r="AI16" s="20" t="s">
        <v>49</v>
      </c>
      <c r="AJ16" s="17" t="s">
        <v>50</v>
      </c>
      <c r="AK16" s="38" t="s">
        <v>51</v>
      </c>
      <c r="AM16" s="41" t="s">
        <v>52</v>
      </c>
      <c r="AN16" s="41" t="s">
        <v>53</v>
      </c>
      <c r="AO16" s="41" t="s">
        <v>54</v>
      </c>
      <c r="AP16" s="41" t="s">
        <v>55</v>
      </c>
      <c r="AQ16" s="41" t="s">
        <v>56</v>
      </c>
      <c r="AR16" s="40"/>
      <c r="AS16" s="41" t="s">
        <v>57</v>
      </c>
      <c r="AT16" s="42" t="s">
        <v>58</v>
      </c>
    </row>
    <row r="17" spans="1:46" ht="252.75" customHeight="1">
      <c r="A17" s="179">
        <v>1</v>
      </c>
      <c r="B17" s="140" t="s">
        <v>59</v>
      </c>
      <c r="C17" s="163" t="s">
        <v>60</v>
      </c>
      <c r="D17" s="163" t="s">
        <v>61</v>
      </c>
      <c r="E17" s="163" t="s">
        <v>62</v>
      </c>
      <c r="F17" s="135"/>
      <c r="G17" s="184">
        <v>365</v>
      </c>
      <c r="H17" s="171" t="str">
        <f>IF(G17&lt;=0,"",IF(G17&lt;=2,"Muy Baja",IF(G17&lt;=24,"Baja",IF(G17&lt;=500,"Media",IF(G17&lt;=5000,"Alta","Muy Alta")))))</f>
        <v>Media</v>
      </c>
      <c r="I17" s="130">
        <f>IF(H17="","",IF(H17="Muy Baja",0.2,IF(H17="Baja",0.4,IF(H17="Media",0.6,IF(H17="Alta",0.8,IF(H17="Muy Alta",1,))))))</f>
        <v>0.6</v>
      </c>
      <c r="J17" s="176" t="s">
        <v>63</v>
      </c>
      <c r="K17" s="152" t="str">
        <f>+J17</f>
        <v>El riesgo afecta la imagen de la entidad con algunos usuarios de relevancia frente al logro de los objetivos.</v>
      </c>
      <c r="L17" s="171" t="str">
        <f>+VLOOKUP(K17,Datos!$O$4:$P$15,2,FALSE)</f>
        <v>Moderado</v>
      </c>
      <c r="M17" s="130">
        <f>IF(L17="","",IF(L17="Leve",0.2,IF(L17="Menor",0.4,IF(L17="Moderado",0.6,IF(L17="Mayor",0.8,IF(L17="Catastrófico",1,))))))</f>
        <v>0.6</v>
      </c>
      <c r="N17" s="155" t="str">
        <f>+CONCATENATE(H17, " - ", L17)</f>
        <v>Media - Moderado</v>
      </c>
      <c r="O17" s="168" t="str">
        <f>+VLOOKUP(N17,Datos!J4:K28,2,)</f>
        <v>MODERADO</v>
      </c>
      <c r="P17" s="35"/>
      <c r="Q17" s="21">
        <v>1</v>
      </c>
      <c r="R17" s="64" t="s">
        <v>64</v>
      </c>
      <c r="S17" s="65" t="str">
        <f t="shared" ref="S17:S22" si="0">IF(OR(T17="Preventivo",T17="Detectivo"),"Probabilidad",IF(T17="Correctivo","Impacto",""))</f>
        <v>Probabilidad</v>
      </c>
      <c r="T17" s="36" t="s">
        <v>65</v>
      </c>
      <c r="U17" s="36" t="s">
        <v>66</v>
      </c>
      <c r="V17" s="44" t="str">
        <f t="shared" ref="V17:V22" si="1">IF(AND(T17="Preventivo",U17="Automático"),"50%",IF(AND(T17="Preventivo",U17="Manual"),"40%",IF(AND(T17="Detectivo",U17="Automático"),"40%",IF(AND(T17="Detectivo",U17="Manual"),"30%",IF(AND(T17="Correctivo",U17="Automático"),"35%",IF(AND(T17="Correctivo",U17="Manual"),"25%",""))))))</f>
        <v>40%</v>
      </c>
      <c r="W17" s="63" t="s">
        <v>67</v>
      </c>
      <c r="X17" s="36" t="s">
        <v>68</v>
      </c>
      <c r="Y17" s="72" t="s">
        <v>69</v>
      </c>
      <c r="Z17" s="47">
        <f>IFERROR(IF(S17="Probabilidad",(I17-(+I17*V17)),IF(S17="Impacto",I17,"")),"")</f>
        <v>0.36</v>
      </c>
      <c r="AA17" s="48" t="str">
        <f t="shared" ref="AA17:AA22" si="2">IFERROR(IF(Z17="","",IF(Z17&lt;=0.2,"Muy Baja",IF(Z17&lt;=0.4,"Baja",IF(Z17&lt;=0.6,"Media",IF(Z17&lt;=0.8,"Alta","Muy Alta"))))),"")</f>
        <v>Baja</v>
      </c>
      <c r="AB17" s="47">
        <f t="shared" ref="AB17:AB22" si="3">+Z17</f>
        <v>0.36</v>
      </c>
      <c r="AC17" s="49" t="str">
        <f t="shared" ref="AC17:AC22" si="4">IFERROR(IF(AD17="","",IF(AD17&lt;=0.2,"Leve",IF(AD17&lt;=0.4,"Menor",IF(AD17&lt;=0.6,"Moderado",IF(AD17&lt;=0.8,"Mayor","Catastrófico"))))),"")</f>
        <v>Moderado</v>
      </c>
      <c r="AD17" s="47">
        <f>IFERROR(IF(S17="Impacto",(M17-(+M17*V17)),IF(S17="Probabilidad",M17,"")),"")</f>
        <v>0.6</v>
      </c>
      <c r="AE17" s="50" t="str">
        <f>+CONCATENATE(AA17, " - ", AC17)</f>
        <v>Baja - Moderado</v>
      </c>
      <c r="AF17" s="59" t="str">
        <f>+VLOOKUP(AE17,Datos!$J$4:$K$28,2,)</f>
        <v>MODERADO</v>
      </c>
      <c r="AG17" s="158" t="s">
        <v>70</v>
      </c>
      <c r="AH17" s="35"/>
      <c r="AI17" s="104" t="s">
        <v>71</v>
      </c>
      <c r="AJ17" s="107" t="s">
        <v>72</v>
      </c>
      <c r="AK17" s="110" t="s">
        <v>73</v>
      </c>
      <c r="AM17" s="189">
        <v>45790</v>
      </c>
      <c r="AN17" s="73" t="s">
        <v>74</v>
      </c>
      <c r="AO17" s="192" t="s">
        <v>75</v>
      </c>
      <c r="AP17" s="195" t="s">
        <v>76</v>
      </c>
      <c r="AQ17" s="195" t="s">
        <v>76</v>
      </c>
      <c r="AR17" s="40"/>
      <c r="AS17" s="198" t="s">
        <v>77</v>
      </c>
      <c r="AT17" s="200" t="s">
        <v>78</v>
      </c>
    </row>
    <row r="18" spans="1:46" ht="168.75" customHeight="1">
      <c r="A18" s="180"/>
      <c r="B18" s="141"/>
      <c r="C18" s="164"/>
      <c r="D18" s="164"/>
      <c r="E18" s="164"/>
      <c r="F18" s="136"/>
      <c r="G18" s="185"/>
      <c r="H18" s="172"/>
      <c r="I18" s="131"/>
      <c r="J18" s="177"/>
      <c r="K18" s="153"/>
      <c r="L18" s="172"/>
      <c r="M18" s="131"/>
      <c r="N18" s="156"/>
      <c r="O18" s="169"/>
      <c r="P18" s="2"/>
      <c r="Q18" s="34">
        <v>2</v>
      </c>
      <c r="R18" s="64" t="s">
        <v>79</v>
      </c>
      <c r="S18" s="66" t="str">
        <f t="shared" si="0"/>
        <v>Probabilidad</v>
      </c>
      <c r="T18" s="6" t="s">
        <v>80</v>
      </c>
      <c r="U18" s="6" t="s">
        <v>66</v>
      </c>
      <c r="V18" s="45" t="str">
        <f t="shared" si="1"/>
        <v>30%</v>
      </c>
      <c r="W18" s="69" t="s">
        <v>81</v>
      </c>
      <c r="X18" s="6" t="s">
        <v>68</v>
      </c>
      <c r="Y18" s="69" t="s">
        <v>82</v>
      </c>
      <c r="Z18" s="51">
        <f>IFERROR(IF(AND(S17="Probabilidad",S18="Probabilidad"),(AB17-(+AB17*V18)),IF(S18="Probabilidad",(I17-(+I17*V18)),IF(S18="Impacto",AB17,""))),"")</f>
        <v>0.252</v>
      </c>
      <c r="AA18" s="52" t="str">
        <f t="shared" si="2"/>
        <v>Baja</v>
      </c>
      <c r="AB18" s="51">
        <f t="shared" si="3"/>
        <v>0.252</v>
      </c>
      <c r="AC18" s="53" t="str">
        <f t="shared" si="4"/>
        <v>Moderado</v>
      </c>
      <c r="AD18" s="51">
        <f>IFERROR(IF(S18="Impacto",(M17-(+M17*V18)),IF(S18="Probabilidad",M17,"")),"")</f>
        <v>0.6</v>
      </c>
      <c r="AE18" s="54" t="str">
        <f>+CONCATENATE(AA18, " - ", AC18)</f>
        <v>Baja - Moderado</v>
      </c>
      <c r="AF18" s="60" t="str">
        <f>+VLOOKUP(AE18,Datos!$J$4:$K$28,2,)</f>
        <v>MODERADO</v>
      </c>
      <c r="AG18" s="159"/>
      <c r="AH18" s="2"/>
      <c r="AI18" s="105"/>
      <c r="AJ18" s="108"/>
      <c r="AK18" s="111"/>
      <c r="AM18" s="190"/>
      <c r="AN18" s="73" t="s">
        <v>83</v>
      </c>
      <c r="AO18" s="193"/>
      <c r="AP18" s="196"/>
      <c r="AQ18" s="196"/>
      <c r="AR18" s="40"/>
      <c r="AS18" s="199"/>
      <c r="AT18" s="201"/>
    </row>
    <row r="19" spans="1:46" ht="234" customHeight="1">
      <c r="A19" s="181"/>
      <c r="B19" s="142"/>
      <c r="C19" s="165"/>
      <c r="D19" s="165"/>
      <c r="E19" s="165"/>
      <c r="F19" s="137"/>
      <c r="G19" s="186"/>
      <c r="H19" s="173"/>
      <c r="I19" s="132"/>
      <c r="J19" s="177"/>
      <c r="K19" s="153"/>
      <c r="L19" s="173"/>
      <c r="M19" s="132"/>
      <c r="N19" s="156"/>
      <c r="O19" s="169"/>
      <c r="P19" s="2"/>
      <c r="Q19" s="8">
        <v>3</v>
      </c>
      <c r="R19" s="64" t="s">
        <v>84</v>
      </c>
      <c r="S19" s="66" t="str">
        <f t="shared" si="0"/>
        <v>Probabilidad</v>
      </c>
      <c r="T19" s="6" t="s">
        <v>80</v>
      </c>
      <c r="U19" s="6" t="s">
        <v>66</v>
      </c>
      <c r="V19" s="45" t="str">
        <f t="shared" si="1"/>
        <v>30%</v>
      </c>
      <c r="W19" s="10" t="s">
        <v>85</v>
      </c>
      <c r="X19" s="10" t="s">
        <v>86</v>
      </c>
      <c r="Y19" s="69" t="s">
        <v>87</v>
      </c>
      <c r="Z19" s="51">
        <f>IFERROR(IF(AND(S18="Probabilidad",S19="Probabilidad"),(AB18-(+AB18*V19)),IF(S19="Probabilidad",(I17-(+I17*V19)),IF(S19="Impacto",AB18,""))),"")</f>
        <v>0.1764</v>
      </c>
      <c r="AA19" s="52" t="str">
        <f t="shared" si="2"/>
        <v>Muy Baja</v>
      </c>
      <c r="AB19" s="51">
        <f t="shared" si="3"/>
        <v>0.1764</v>
      </c>
      <c r="AC19" s="53" t="str">
        <f t="shared" si="4"/>
        <v>Moderado</v>
      </c>
      <c r="AD19" s="51">
        <f>IFERROR(IF(AND(S18="Impacto",S18="Impacto"),(AD18-(+AD18*V19)),IF(S19="Impacto",(M17-(+M17*V19)),IF(S19="Probabilidad",AD18,""))),"")</f>
        <v>0.6</v>
      </c>
      <c r="AE19" s="54" t="str">
        <f t="shared" ref="AE19:AE20" si="5">+CONCATENATE(AA19, " - ", AC19)</f>
        <v>Muy Baja - Moderado</v>
      </c>
      <c r="AF19" s="60" t="str">
        <f>+VLOOKUP(AE19,Datos!$J$4:$K$28,2,)</f>
        <v>MODERADO</v>
      </c>
      <c r="AG19" s="160"/>
      <c r="AH19" s="2"/>
      <c r="AI19" s="105"/>
      <c r="AJ19" s="108"/>
      <c r="AK19" s="111"/>
      <c r="AM19" s="190"/>
      <c r="AN19" s="74" t="s">
        <v>88</v>
      </c>
      <c r="AO19" s="193"/>
      <c r="AP19" s="196"/>
      <c r="AQ19" s="196"/>
      <c r="AR19" s="39"/>
      <c r="AS19" s="199"/>
      <c r="AT19" s="201"/>
    </row>
    <row r="20" spans="1:46" ht="306.75" customHeight="1">
      <c r="A20" s="182"/>
      <c r="B20" s="143"/>
      <c r="C20" s="166"/>
      <c r="D20" s="166"/>
      <c r="E20" s="166"/>
      <c r="F20" s="138"/>
      <c r="G20" s="187"/>
      <c r="H20" s="174"/>
      <c r="I20" s="133"/>
      <c r="J20" s="177"/>
      <c r="K20" s="153"/>
      <c r="L20" s="174"/>
      <c r="M20" s="133"/>
      <c r="N20" s="156"/>
      <c r="O20" s="169"/>
      <c r="P20" s="2"/>
      <c r="Q20" s="62">
        <v>4</v>
      </c>
      <c r="R20" s="64" t="s">
        <v>89</v>
      </c>
      <c r="S20" s="66" t="str">
        <f t="shared" si="0"/>
        <v>Impacto</v>
      </c>
      <c r="T20" s="6" t="s">
        <v>90</v>
      </c>
      <c r="U20" s="6" t="s">
        <v>66</v>
      </c>
      <c r="V20" s="45" t="str">
        <f t="shared" si="1"/>
        <v>25%</v>
      </c>
      <c r="W20" s="69" t="s">
        <v>91</v>
      </c>
      <c r="X20" s="10" t="s">
        <v>92</v>
      </c>
      <c r="Y20" s="10" t="s">
        <v>93</v>
      </c>
      <c r="Z20" s="51">
        <f>IFERROR(IF(AND(S19="Probabilidad",S20="Probabilidad"),(AB19-(+AB19*V20)),IF(S20="Probabilidad",(I17-(+I17*V20)),IF(S20="Impacto",AB19,""))),"")</f>
        <v>0.1764</v>
      </c>
      <c r="AA20" s="52" t="str">
        <f t="shared" si="2"/>
        <v>Muy Baja</v>
      </c>
      <c r="AB20" s="51">
        <f t="shared" si="3"/>
        <v>0.1764</v>
      </c>
      <c r="AC20" s="53" t="str">
        <f t="shared" si="4"/>
        <v>Moderado</v>
      </c>
      <c r="AD20" s="51">
        <f>IFERROR(IF(AND(S18="Impacto",S18="Impacto"),(AD19-(+AD19*V20)),IF(S20="Impacto",(M17-(+M17*V20)),IF(S20="Probabilidad",AD19,""))),"")</f>
        <v>0.44999999999999996</v>
      </c>
      <c r="AE20" s="54" t="str">
        <f t="shared" si="5"/>
        <v>Muy Baja - Moderado</v>
      </c>
      <c r="AF20" s="60" t="str">
        <f>+VLOOKUP(AE20,Datos!$J$4:$K$28,2,)</f>
        <v>MODERADO</v>
      </c>
      <c r="AG20" s="161"/>
      <c r="AH20" s="2"/>
      <c r="AI20" s="105"/>
      <c r="AJ20" s="108"/>
      <c r="AK20" s="111"/>
      <c r="AM20" s="190"/>
      <c r="AN20" s="75" t="s">
        <v>94</v>
      </c>
      <c r="AO20" s="193"/>
      <c r="AP20" s="196"/>
      <c r="AQ20" s="196"/>
      <c r="AR20" s="39"/>
      <c r="AS20" s="199"/>
      <c r="AT20" s="201"/>
    </row>
    <row r="21" spans="1:46" ht="306.75" customHeight="1">
      <c r="A21" s="182"/>
      <c r="B21" s="143"/>
      <c r="C21" s="166"/>
      <c r="D21" s="166"/>
      <c r="E21" s="166"/>
      <c r="F21" s="138"/>
      <c r="G21" s="187"/>
      <c r="H21" s="174"/>
      <c r="I21" s="133"/>
      <c r="J21" s="177"/>
      <c r="K21" s="153"/>
      <c r="L21" s="174"/>
      <c r="M21" s="133"/>
      <c r="N21" s="156"/>
      <c r="O21" s="169"/>
      <c r="P21" s="66" t="str">
        <f t="shared" ref="P21" si="6">IF(OR(Q21="Preventivo",Q21="Detectivo"),"Probabilidad",IF(Q21="Correctivo","Impacto",""))</f>
        <v/>
      </c>
      <c r="Q21" s="62">
        <v>5</v>
      </c>
      <c r="R21" s="64" t="s">
        <v>95</v>
      </c>
      <c r="S21" s="66" t="str">
        <f t="shared" ref="S21" si="7">IF(OR(T21="Preventivo",T21="Detectivo"),"Probabilidad",IF(T21="Correctivo","Impacto",""))</f>
        <v>Impacto</v>
      </c>
      <c r="T21" s="6" t="s">
        <v>90</v>
      </c>
      <c r="U21" s="6" t="s">
        <v>66</v>
      </c>
      <c r="V21" s="45" t="str">
        <f t="shared" ref="V21" si="8">IF(AND(T21="Preventivo",U21="Automático"),"50%",IF(AND(T21="Preventivo",U21="Manual"),"40%",IF(AND(T21="Detectivo",U21="Automático"),"40%",IF(AND(T21="Detectivo",U21="Manual"),"30%",IF(AND(T21="Correctivo",U21="Automático"),"35%",IF(AND(T21="Correctivo",U21="Manual"),"25%",""))))))</f>
        <v>25%</v>
      </c>
      <c r="W21" s="70" t="s">
        <v>96</v>
      </c>
      <c r="X21" s="10" t="s">
        <v>97</v>
      </c>
      <c r="Y21" s="10" t="s">
        <v>98</v>
      </c>
      <c r="Z21" s="51">
        <f>IFERROR(IF(AND(S20="Probabilidad",S21="Probabilidad"),(AB20-(+AB20*V21)),IF(S21="Probabilidad",(I18-(+I18*V21)),IF(S21="Impacto",AB20,""))),"")</f>
        <v>0.1764</v>
      </c>
      <c r="AA21" s="52" t="str">
        <f t="shared" ref="AA21" si="9">IFERROR(IF(Z21="","",IF(Z21&lt;=0.2,"Muy Baja",IF(Z21&lt;=0.4,"Baja",IF(Z21&lt;=0.6,"Media",IF(Z21&lt;=0.8,"Alta","Muy Alta"))))),"")</f>
        <v>Muy Baja</v>
      </c>
      <c r="AB21" s="51">
        <f t="shared" ref="AB21" si="10">+Z21</f>
        <v>0.1764</v>
      </c>
      <c r="AC21" s="53" t="str">
        <f t="shared" ref="AC21" si="11">IFERROR(IF(AD21="","",IF(AD21&lt;=0.2,"Leve",IF(AD21&lt;=0.4,"Menor",IF(AD21&lt;=0.6,"Moderado",IF(AD21&lt;=0.8,"Mayor","Catastrófico"))))),"")</f>
        <v>Menor</v>
      </c>
      <c r="AD21" s="51">
        <f>IFERROR(IF(AND(S20="Impacto",S20="Impacto"),(AD20-(+AD20*V21)),IF(S21="Impacto",(M17-(+M17*V21)),IF(S21="Probabilidad",AD20,""))),"")</f>
        <v>0.33749999999999997</v>
      </c>
      <c r="AE21" s="54" t="str">
        <f t="shared" ref="AE21" si="12">+CONCATENATE(AA21, " - ", AC21)</f>
        <v>Muy Baja - Menor</v>
      </c>
      <c r="AF21" s="60" t="str">
        <f>+VLOOKUP(AE21,Datos!$J$4:$K$28,2,)</f>
        <v>BAJO</v>
      </c>
      <c r="AG21" s="161"/>
      <c r="AH21" s="66" t="str">
        <f t="shared" ref="AH21" si="13">IF(OR(AI21="Preventivo",AI21="Detectivo"),"Probabilidad",IF(AI21="Correctivo","Impacto",""))</f>
        <v/>
      </c>
      <c r="AI21" s="105"/>
      <c r="AJ21" s="108"/>
      <c r="AK21" s="111"/>
      <c r="AL21" s="66" t="str">
        <f t="shared" ref="AL21" si="14">IF(OR(AM21="Preventivo",AM21="Detectivo"),"Probabilidad",IF(AM21="Correctivo","Impacto",""))</f>
        <v/>
      </c>
      <c r="AM21" s="190"/>
      <c r="AN21" s="75" t="s">
        <v>99</v>
      </c>
      <c r="AO21" s="193"/>
      <c r="AP21" s="196"/>
      <c r="AQ21" s="196"/>
      <c r="AR21" s="66"/>
      <c r="AS21" s="199"/>
      <c r="AT21" s="201"/>
    </row>
    <row r="22" spans="1:46" ht="187.5" customHeight="1">
      <c r="A22" s="183"/>
      <c r="B22" s="144"/>
      <c r="C22" s="167"/>
      <c r="D22" s="167"/>
      <c r="E22" s="167"/>
      <c r="F22" s="139"/>
      <c r="G22" s="188"/>
      <c r="H22" s="175"/>
      <c r="I22" s="134"/>
      <c r="J22" s="178"/>
      <c r="K22" s="154"/>
      <c r="L22" s="175"/>
      <c r="M22" s="134"/>
      <c r="N22" s="157"/>
      <c r="O22" s="170"/>
      <c r="P22" s="37"/>
      <c r="Q22" s="9">
        <v>6</v>
      </c>
      <c r="R22" s="68" t="s">
        <v>100</v>
      </c>
      <c r="S22" s="67" t="str">
        <f t="shared" si="0"/>
        <v>Impacto</v>
      </c>
      <c r="T22" s="22" t="s">
        <v>90</v>
      </c>
      <c r="U22" s="22" t="s">
        <v>66</v>
      </c>
      <c r="V22" s="46" t="str">
        <f t="shared" si="1"/>
        <v>25%</v>
      </c>
      <c r="W22" s="10" t="s">
        <v>85</v>
      </c>
      <c r="X22" s="23" t="s">
        <v>101</v>
      </c>
      <c r="Y22" s="71" t="s">
        <v>102</v>
      </c>
      <c r="Z22" s="55">
        <f>IFERROR(IF(AND(S20="Probabilidad",S22="Probabilidad"),(AB20-(+AB20*V22)),IF(S22="Probabilidad",(I17-(+I17*V22)),IF(S22="Impacto",AB20,""))),"")</f>
        <v>0.1764</v>
      </c>
      <c r="AA22" s="56" t="str">
        <f t="shared" si="2"/>
        <v>Muy Baja</v>
      </c>
      <c r="AB22" s="55">
        <f t="shared" si="3"/>
        <v>0.1764</v>
      </c>
      <c r="AC22" s="57" t="str">
        <f t="shared" si="4"/>
        <v>Menor</v>
      </c>
      <c r="AD22" s="55">
        <f>IFERROR(IF(AND(S22="Impacto",S22="Impacto"),(AD21-(+AD21*V22)),IF(S22="Impacto",(M17-(+M17*V22)),IF(S22="Probabilidad",AD21,""))),"")</f>
        <v>0.25312499999999999</v>
      </c>
      <c r="AE22" s="58" t="str">
        <f t="shared" ref="AE22" si="15">+CONCATENATE(AA22, " - ", AC22)</f>
        <v>Muy Baja - Menor</v>
      </c>
      <c r="AF22" s="61" t="str">
        <f>+VLOOKUP(AE22,Datos!$J$4:$K$28,2,)</f>
        <v>BAJO</v>
      </c>
      <c r="AG22" s="162"/>
      <c r="AH22" s="2"/>
      <c r="AI22" s="106"/>
      <c r="AJ22" s="109"/>
      <c r="AK22" s="112"/>
      <c r="AM22" s="191"/>
      <c r="AN22" s="73" t="s">
        <v>103</v>
      </c>
      <c r="AO22" s="194"/>
      <c r="AP22" s="197"/>
      <c r="AQ22" s="197"/>
      <c r="AR22" s="39"/>
      <c r="AS22" s="199"/>
      <c r="AT22" s="201"/>
    </row>
    <row r="23" spans="1:46">
      <c r="P23" s="2"/>
      <c r="AR23" s="39"/>
    </row>
    <row r="24" spans="1:46">
      <c r="P24" s="2"/>
    </row>
    <row r="25" spans="1:46">
      <c r="P25" s="2"/>
    </row>
    <row r="26" spans="1:46">
      <c r="P26" s="2"/>
    </row>
    <row r="27" spans="1:46">
      <c r="P27" s="2"/>
    </row>
    <row r="28" spans="1:46">
      <c r="P28" s="2"/>
    </row>
    <row r="29" spans="1:46">
      <c r="P29" s="2"/>
    </row>
    <row r="30" spans="1:46">
      <c r="P30" s="2"/>
    </row>
    <row r="31" spans="1:46">
      <c r="P31" s="2"/>
    </row>
    <row r="32" spans="1:46">
      <c r="P32" s="2"/>
    </row>
  </sheetData>
  <mergeCells count="49">
    <mergeCell ref="AM14:AQ15"/>
    <mergeCell ref="AS14:AT15"/>
    <mergeCell ref="AM17:AM22"/>
    <mergeCell ref="AO17:AO22"/>
    <mergeCell ref="AP17:AP22"/>
    <mergeCell ref="AQ17:AQ22"/>
    <mergeCell ref="AS17:AS22"/>
    <mergeCell ref="AT17:AT22"/>
    <mergeCell ref="K17:K22"/>
    <mergeCell ref="N17:N22"/>
    <mergeCell ref="AG17:AG22"/>
    <mergeCell ref="E17:E22"/>
    <mergeCell ref="A12:C12"/>
    <mergeCell ref="D12:M12"/>
    <mergeCell ref="O17:O22"/>
    <mergeCell ref="L17:L22"/>
    <mergeCell ref="J17:J22"/>
    <mergeCell ref="A17:A22"/>
    <mergeCell ref="C17:C22"/>
    <mergeCell ref="D17:D22"/>
    <mergeCell ref="G17:G22"/>
    <mergeCell ref="H17:H22"/>
    <mergeCell ref="I17:I22"/>
    <mergeCell ref="AI14:AK15"/>
    <mergeCell ref="AI17:AI22"/>
    <mergeCell ref="AJ17:AJ22"/>
    <mergeCell ref="AK17:AK22"/>
    <mergeCell ref="A1:B8"/>
    <mergeCell ref="A14:O15"/>
    <mergeCell ref="Q14:AG14"/>
    <mergeCell ref="Z15:AG15"/>
    <mergeCell ref="T15:Y15"/>
    <mergeCell ref="M17:M22"/>
    <mergeCell ref="F17:F22"/>
    <mergeCell ref="B17:B22"/>
    <mergeCell ref="A10:C10"/>
    <mergeCell ref="D10:M10"/>
    <mergeCell ref="A11:C11"/>
    <mergeCell ref="D11:M11"/>
    <mergeCell ref="C5:AP8"/>
    <mergeCell ref="AQ5:AR6"/>
    <mergeCell ref="AS5:AT6"/>
    <mergeCell ref="AQ7:AR8"/>
    <mergeCell ref="AS7:AT8"/>
    <mergeCell ref="C1:AP4"/>
    <mergeCell ref="AQ1:AR2"/>
    <mergeCell ref="AS1:AT2"/>
    <mergeCell ref="AQ3:AR4"/>
    <mergeCell ref="AS3:AT4"/>
  </mergeCells>
  <conditionalFormatting sqref="H17:H20 H22">
    <cfRule type="cellIs" dxfId="27" priority="173" operator="equal">
      <formula>"Muy Alta"</formula>
    </cfRule>
    <cfRule type="cellIs" dxfId="26" priority="174" operator="equal">
      <formula>"Alta"</formula>
    </cfRule>
    <cfRule type="cellIs" dxfId="25" priority="175" operator="equal">
      <formula>"Media"</formula>
    </cfRule>
    <cfRule type="cellIs" dxfId="24" priority="176" operator="equal">
      <formula>"Muy Baja"</formula>
    </cfRule>
    <cfRule type="cellIs" dxfId="23" priority="177" operator="equal">
      <formula>"Baja"</formula>
    </cfRule>
  </conditionalFormatting>
  <conditionalFormatting sqref="L17:L20 L22">
    <cfRule type="cellIs" dxfId="22" priority="166" operator="equal">
      <formula>"Leve"</formula>
    </cfRule>
    <cfRule type="cellIs" dxfId="21" priority="167" operator="equal">
      <formula>"Catastrófico"</formula>
    </cfRule>
    <cfRule type="cellIs" dxfId="20" priority="168" operator="equal">
      <formula>"Mayor"</formula>
    </cfRule>
    <cfRule type="cellIs" dxfId="19" priority="169" operator="equal">
      <formula>"Moderado"</formula>
    </cfRule>
    <cfRule type="cellIs" dxfId="18" priority="171" operator="equal">
      <formula>"Menor"</formula>
    </cfRule>
  </conditionalFormatting>
  <conditionalFormatting sqref="O17:O20 O22">
    <cfRule type="cellIs" dxfId="17" priority="160" operator="equal">
      <formula>"EXTREMO"</formula>
    </cfRule>
    <cfRule type="cellIs" dxfId="16" priority="161" operator="equal">
      <formula>"ALTO"</formula>
    </cfRule>
    <cfRule type="cellIs" dxfId="15" priority="163" operator="equal">
      <formula>"BAJO"</formula>
    </cfRule>
    <cfRule type="cellIs" dxfId="14" priority="164" operator="equal">
      <formula>"MODERADO"</formula>
    </cfRule>
  </conditionalFormatting>
  <conditionalFormatting sqref="AA17:AA22">
    <cfRule type="cellIs" dxfId="13" priority="155" stopIfTrue="1" operator="equal">
      <formula>"Muy Baja"</formula>
    </cfRule>
    <cfRule type="cellIs" dxfId="12" priority="156" operator="equal">
      <formula>"Baja"</formula>
    </cfRule>
    <cfRule type="cellIs" dxfId="11" priority="157" operator="equal">
      <formula>"Media"</formula>
    </cfRule>
    <cfRule type="cellIs" dxfId="10" priority="158" operator="equal">
      <formula>"Muy Alta"</formula>
    </cfRule>
    <cfRule type="cellIs" dxfId="9" priority="159" operator="equal">
      <formula>"Alta"</formula>
    </cfRule>
  </conditionalFormatting>
  <conditionalFormatting sqref="AC17:AC22">
    <cfRule type="cellIs" dxfId="8" priority="150" operator="equal">
      <formula>"Catastrófico"</formula>
    </cfRule>
    <cfRule type="cellIs" dxfId="7" priority="151" operator="equal">
      <formula>"Mayor"</formula>
    </cfRule>
    <cfRule type="cellIs" dxfId="6" priority="152" operator="equal">
      <formula>"Moderado"</formula>
    </cfRule>
    <cfRule type="cellIs" dxfId="5" priority="153" operator="equal">
      <formula>"Menor"</formula>
    </cfRule>
    <cfRule type="cellIs" dxfId="4" priority="154" operator="equal">
      <formula>"Leve"</formula>
    </cfRule>
  </conditionalFormatting>
  <conditionalFormatting sqref="AF17:AF22">
    <cfRule type="cellIs" dxfId="3" priority="146" operator="equal">
      <formula>"EXTREMO"</formula>
    </cfRule>
    <cfRule type="cellIs" dxfId="2" priority="147" operator="equal">
      <formula>"ALTO"</formula>
    </cfRule>
    <cfRule type="cellIs" dxfId="1" priority="148" operator="equal">
      <formula>"BAJO"</formula>
    </cfRule>
    <cfRule type="cellIs" dxfId="0" priority="149" operator="equal">
      <formula>"MODERADO"</formula>
    </cfRule>
  </conditionalFormatting>
  <pageMargins left="0.70866141732283472" right="0.70866141732283472" top="0.74803149606299213" bottom="0.74803149606299213" header="0.31496062992125984" footer="0.31496062992125984"/>
  <pageSetup paperSize="41" scale="54" fitToWidth="3" fitToHeight="3" orientation="landscape" r:id="rId1"/>
  <colBreaks count="1" manualBreakCount="1">
    <brk id="16" max="23" man="1"/>
  </colBreaks>
  <ignoredErrors>
    <ignoredError sqref="O17 M17 L19:M19" evalError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Datos!$A$4:$A$6</xm:f>
          </x14:formula1>
          <xm:sqref>B17:B20 B22</xm:sqref>
        </x14:dataValidation>
        <x14:dataValidation type="list" allowBlank="1" showInputMessage="1" showErrorMessage="1" xr:uid="{00000000-0002-0000-0000-000001000000}">
          <x14:formula1>
            <xm:f>Datos!$O$3:$O$15</xm:f>
          </x14:formula1>
          <xm:sqref>J17:J20 J22</xm:sqref>
        </x14:dataValidation>
        <x14:dataValidation type="list" allowBlank="1" showInputMessage="1" showErrorMessage="1" xr:uid="{00000000-0002-0000-0000-000002000000}">
          <x14:formula1>
            <xm:f>Datos!$P$19:$P$22</xm:f>
          </x14:formula1>
          <xm:sqref>T17:T22</xm:sqref>
        </x14:dataValidation>
        <x14:dataValidation type="list" allowBlank="1" showInputMessage="1" showErrorMessage="1" xr:uid="{00000000-0002-0000-0000-000003000000}">
          <x14:formula1>
            <xm:f>Datos!$P$25:$P$26</xm:f>
          </x14:formula1>
          <xm:sqref>U17:U22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Q28"/>
  <sheetViews>
    <sheetView topLeftCell="K1" zoomScale="120" zoomScaleNormal="120" workbookViewId="0">
      <selection activeCell="Q15" sqref="Q15"/>
    </sheetView>
  </sheetViews>
  <sheetFormatPr defaultColWidth="10.7109375" defaultRowHeight="14.45"/>
  <cols>
    <col min="7" max="7" width="14.85546875" customWidth="1"/>
    <col min="10" max="10" width="33" customWidth="1"/>
    <col min="15" max="15" width="81.42578125" customWidth="1"/>
  </cols>
  <sheetData>
    <row r="3" spans="1:17">
      <c r="A3" s="26" t="s">
        <v>104</v>
      </c>
      <c r="D3" t="s">
        <v>105</v>
      </c>
      <c r="G3" t="s">
        <v>106</v>
      </c>
      <c r="J3" t="s">
        <v>107</v>
      </c>
      <c r="O3" t="s">
        <v>108</v>
      </c>
    </row>
    <row r="4" spans="1:17">
      <c r="A4" t="s">
        <v>109</v>
      </c>
      <c r="D4" t="s">
        <v>110</v>
      </c>
      <c r="E4" s="25">
        <v>0.2</v>
      </c>
      <c r="G4" t="s">
        <v>111</v>
      </c>
      <c r="H4" s="25">
        <v>0.2</v>
      </c>
      <c r="J4" t="s">
        <v>112</v>
      </c>
      <c r="K4" t="s">
        <v>113</v>
      </c>
      <c r="O4" t="s">
        <v>114</v>
      </c>
      <c r="P4" s="3" t="s">
        <v>115</v>
      </c>
      <c r="Q4" s="28">
        <v>0.2</v>
      </c>
    </row>
    <row r="5" spans="1:17">
      <c r="A5" t="s">
        <v>59</v>
      </c>
      <c r="D5" t="s">
        <v>116</v>
      </c>
      <c r="E5" s="25">
        <v>0.4</v>
      </c>
      <c r="G5" t="s">
        <v>117</v>
      </c>
      <c r="H5" s="25">
        <v>0.4</v>
      </c>
      <c r="J5" t="s">
        <v>118</v>
      </c>
      <c r="K5" t="s">
        <v>113</v>
      </c>
      <c r="O5" s="27" t="s">
        <v>119</v>
      </c>
      <c r="P5" s="3" t="s">
        <v>120</v>
      </c>
      <c r="Q5" s="28">
        <v>0.4</v>
      </c>
    </row>
    <row r="6" spans="1:17">
      <c r="A6" t="s">
        <v>121</v>
      </c>
      <c r="D6" t="s">
        <v>122</v>
      </c>
      <c r="E6" s="25">
        <v>0.6</v>
      </c>
      <c r="G6" t="s">
        <v>123</v>
      </c>
      <c r="H6" s="25">
        <v>0.6</v>
      </c>
      <c r="J6" t="s">
        <v>124</v>
      </c>
      <c r="K6" t="s">
        <v>123</v>
      </c>
      <c r="O6" t="s">
        <v>125</v>
      </c>
      <c r="P6" s="3" t="s">
        <v>126</v>
      </c>
      <c r="Q6" s="28">
        <v>0.6</v>
      </c>
    </row>
    <row r="7" spans="1:17">
      <c r="D7" t="s">
        <v>127</v>
      </c>
      <c r="E7" s="25">
        <v>0.8</v>
      </c>
      <c r="G7" t="s">
        <v>128</v>
      </c>
      <c r="H7" s="25">
        <v>0.8</v>
      </c>
      <c r="J7" t="s">
        <v>129</v>
      </c>
      <c r="K7" t="s">
        <v>130</v>
      </c>
      <c r="O7" t="s">
        <v>131</v>
      </c>
      <c r="P7" s="3" t="s">
        <v>132</v>
      </c>
      <c r="Q7" s="28">
        <v>0.8</v>
      </c>
    </row>
    <row r="8" spans="1:17">
      <c r="D8" t="s">
        <v>133</v>
      </c>
      <c r="E8" s="25">
        <v>1</v>
      </c>
      <c r="G8" t="s">
        <v>134</v>
      </c>
      <c r="H8" s="25">
        <v>1</v>
      </c>
      <c r="J8" t="s">
        <v>135</v>
      </c>
      <c r="K8" t="s">
        <v>136</v>
      </c>
      <c r="O8" t="s">
        <v>137</v>
      </c>
      <c r="P8" s="3" t="s">
        <v>138</v>
      </c>
      <c r="Q8" s="28">
        <v>1</v>
      </c>
    </row>
    <row r="9" spans="1:17">
      <c r="J9" t="s">
        <v>139</v>
      </c>
      <c r="K9" t="s">
        <v>113</v>
      </c>
    </row>
    <row r="10" spans="1:17">
      <c r="J10" t="s">
        <v>140</v>
      </c>
      <c r="K10" t="s">
        <v>123</v>
      </c>
      <c r="O10" t="s">
        <v>141</v>
      </c>
    </row>
    <row r="11" spans="1:17">
      <c r="J11" t="s">
        <v>142</v>
      </c>
      <c r="K11" t="s">
        <v>123</v>
      </c>
      <c r="O11" t="s">
        <v>143</v>
      </c>
      <c r="P11" s="3" t="s">
        <v>115</v>
      </c>
      <c r="Q11" s="28">
        <v>0.2</v>
      </c>
    </row>
    <row r="12" spans="1:17" ht="30.75" customHeight="1">
      <c r="J12" t="s">
        <v>144</v>
      </c>
      <c r="K12" t="s">
        <v>130</v>
      </c>
      <c r="O12" s="27" t="s">
        <v>145</v>
      </c>
      <c r="P12" s="3" t="s">
        <v>120</v>
      </c>
      <c r="Q12" s="28">
        <v>0.4</v>
      </c>
    </row>
    <row r="13" spans="1:17" ht="28.9">
      <c r="J13" t="s">
        <v>146</v>
      </c>
      <c r="K13" t="s">
        <v>136</v>
      </c>
      <c r="O13" s="27" t="s">
        <v>63</v>
      </c>
      <c r="P13" s="3" t="s">
        <v>126</v>
      </c>
      <c r="Q13" s="28">
        <v>0.6</v>
      </c>
    </row>
    <row r="14" spans="1:17" ht="28.9">
      <c r="J14" t="s">
        <v>147</v>
      </c>
      <c r="K14" t="s">
        <v>123</v>
      </c>
      <c r="O14" s="27" t="s">
        <v>148</v>
      </c>
      <c r="P14" s="3" t="s">
        <v>132</v>
      </c>
      <c r="Q14" s="28">
        <v>0.8</v>
      </c>
    </row>
    <row r="15" spans="1:17" ht="28.9">
      <c r="J15" t="s">
        <v>149</v>
      </c>
      <c r="K15" t="s">
        <v>123</v>
      </c>
      <c r="O15" s="27" t="s">
        <v>150</v>
      </c>
      <c r="P15" s="3" t="s">
        <v>138</v>
      </c>
      <c r="Q15" s="28">
        <v>1</v>
      </c>
    </row>
    <row r="16" spans="1:17">
      <c r="J16" t="s">
        <v>151</v>
      </c>
      <c r="K16" t="s">
        <v>123</v>
      </c>
    </row>
    <row r="17" spans="10:16">
      <c r="J17" t="s">
        <v>152</v>
      </c>
      <c r="K17" t="s">
        <v>130</v>
      </c>
    </row>
    <row r="18" spans="10:16">
      <c r="J18" t="s">
        <v>153</v>
      </c>
      <c r="K18" t="s">
        <v>136</v>
      </c>
    </row>
    <row r="19" spans="10:16">
      <c r="J19" t="s">
        <v>154</v>
      </c>
      <c r="K19" t="s">
        <v>123</v>
      </c>
      <c r="P19" t="s">
        <v>155</v>
      </c>
    </row>
    <row r="20" spans="10:16">
      <c r="J20" t="s">
        <v>156</v>
      </c>
      <c r="K20" t="s">
        <v>123</v>
      </c>
      <c r="P20" t="s">
        <v>65</v>
      </c>
    </row>
    <row r="21" spans="10:16">
      <c r="J21" t="s">
        <v>157</v>
      </c>
      <c r="K21" t="s">
        <v>130</v>
      </c>
      <c r="P21" t="s">
        <v>80</v>
      </c>
    </row>
    <row r="22" spans="10:16">
      <c r="J22" t="s">
        <v>158</v>
      </c>
      <c r="K22" t="s">
        <v>130</v>
      </c>
      <c r="P22" t="s">
        <v>90</v>
      </c>
    </row>
    <row r="23" spans="10:16">
      <c r="J23" t="s">
        <v>159</v>
      </c>
      <c r="K23" t="s">
        <v>136</v>
      </c>
    </row>
    <row r="24" spans="10:16">
      <c r="J24" t="s">
        <v>160</v>
      </c>
      <c r="K24" t="s">
        <v>130</v>
      </c>
      <c r="P24" t="s">
        <v>161</v>
      </c>
    </row>
    <row r="25" spans="10:16">
      <c r="J25" t="s">
        <v>162</v>
      </c>
      <c r="K25" t="s">
        <v>130</v>
      </c>
      <c r="P25" t="s">
        <v>163</v>
      </c>
    </row>
    <row r="26" spans="10:16">
      <c r="J26" t="s">
        <v>164</v>
      </c>
      <c r="K26" t="s">
        <v>130</v>
      </c>
      <c r="P26" t="s">
        <v>66</v>
      </c>
    </row>
    <row r="27" spans="10:16">
      <c r="J27" t="s">
        <v>165</v>
      </c>
      <c r="K27" t="s">
        <v>130</v>
      </c>
    </row>
    <row r="28" spans="10:16">
      <c r="J28" t="s">
        <v>166</v>
      </c>
      <c r="K28" t="s">
        <v>136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36" sqref="C36"/>
    </sheetView>
  </sheetViews>
  <sheetFormatPr defaultColWidth="10.7109375" defaultRowHeight="14.4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befd943-4f51-4e42-85af-a07052259448">
      <Terms xmlns="http://schemas.microsoft.com/office/infopath/2007/PartnerControls"/>
    </lcf76f155ced4ddcb4097134ff3c332f>
    <TaxCatchAll xmlns="d8efec78-3424-4c97-abf4-c2ff1d9e6d0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960FE7278092C44B5607AA964C04AD8" ma:contentTypeVersion="18" ma:contentTypeDescription="Crear nuevo documento." ma:contentTypeScope="" ma:versionID="3c334712ddb1a386e221a84023a1ba0c">
  <xsd:schema xmlns:xsd="http://www.w3.org/2001/XMLSchema" xmlns:xs="http://www.w3.org/2001/XMLSchema" xmlns:p="http://schemas.microsoft.com/office/2006/metadata/properties" xmlns:ns2="8befd943-4f51-4e42-85af-a07052259448" xmlns:ns3="d8efec78-3424-4c97-abf4-c2ff1d9e6d03" targetNamespace="http://schemas.microsoft.com/office/2006/metadata/properties" ma:root="true" ma:fieldsID="1ff44eaf9d9925a66300bdb688085a0f" ns2:_="" ns3:_="">
    <xsd:import namespace="8befd943-4f51-4e42-85af-a07052259448"/>
    <xsd:import namespace="d8efec78-3424-4c97-abf4-c2ff1d9e6d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efd943-4f51-4e42-85af-a070522594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be2b3a10-215b-4d32-87ea-2342d4792a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efec78-3424-4c97-abf4-c2ff1d9e6d0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dbdcf5c2-d273-4d70-8f91-c5c66f26fa01}" ma:internalName="TaxCatchAll" ma:showField="CatchAllData" ma:web="d8efec78-3424-4c97-abf4-c2ff1d9e6d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D1DBA3-D1D5-4E21-B83E-43B61B3E00EB}"/>
</file>

<file path=customXml/itemProps2.xml><?xml version="1.0" encoding="utf-8"?>
<ds:datastoreItem xmlns:ds="http://schemas.openxmlformats.org/officeDocument/2006/customXml" ds:itemID="{BD947C14-0DB6-4261-B680-B7DBB52CE25B}"/>
</file>

<file path=customXml/itemProps3.xml><?xml version="1.0" encoding="utf-8"?>
<ds:datastoreItem xmlns:ds="http://schemas.openxmlformats.org/officeDocument/2006/customXml" ds:itemID="{98FC021E-0BC4-417A-9CAC-CD8EB3FAE6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Willington Granados Herrera</dc:creator>
  <cp:keywords/>
  <dc:description/>
  <cp:lastModifiedBy>Control Interno</cp:lastModifiedBy>
  <cp:revision/>
  <dcterms:created xsi:type="dcterms:W3CDTF">2021-05-10T15:52:34Z</dcterms:created>
  <dcterms:modified xsi:type="dcterms:W3CDTF">2025-07-03T20:15:10Z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0x010100C960FE7278092C44B5607AA964C04AD8</vt:lpwstr>
  </property>
  <property fmtid="{D5CDD505-2E9C-101B-9397-08002B2CF9AE}" pid="3" name="MediaServiceImageTags">
    <vt:lpwstr/>
  </property>
</Properties>
</file>